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8480" windowHeight="7635" tabRatio="650" activeTab="2"/>
  </bookViews>
  <sheets>
    <sheet name="2013 Report NOTES" sheetId="2" r:id="rId1"/>
    <sheet name="Industry Highlights 2013" sheetId="3" r:id="rId2"/>
    <sheet name="2013 Total Circulation by Title" sheetId="11" r:id="rId3"/>
    <sheet name="2013 Ownership Groups" sheetId="7" r:id="rId4"/>
    <sheet name="2013 Ownership by Province" sheetId="5" r:id="rId5"/>
    <sheet name="Metered Access-Paywalls" sheetId="6" r:id="rId6"/>
    <sheet name="Terminology" sheetId="10" r:id="rId7"/>
  </sheets>
  <externalReferences>
    <externalReference r:id="rId8"/>
  </externalReferences>
  <definedNames>
    <definedName name="_xlnm._FilterDatabase" localSheetId="2" hidden="1">'2013 Total Circulation by Title'!$A$3:$BI$116</definedName>
    <definedName name="FREQUENCY" localSheetId="4">'[1]09CNA Circ'!#REF!</definedName>
    <definedName name="FREQUENCY" localSheetId="3">'[1]09CNA Circ'!#REF!</definedName>
    <definedName name="FREQUENCY" localSheetId="2">'[1]09CNA Circ'!#REF!</definedName>
    <definedName name="FREQUENCY" localSheetId="6">'[1]09CNA Circ'!#REF!</definedName>
    <definedName name="FREQUENCY">'[1]09CNA Circ'!#REF!</definedName>
    <definedName name="FRIDAY" localSheetId="4">'[1]09CNA Circ'!#REF!</definedName>
    <definedName name="FRIDAY" localSheetId="3">'[1]09CNA Circ'!#REF!</definedName>
    <definedName name="FRIDAY" localSheetId="2">'[1]09CNA Circ'!#REF!</definedName>
    <definedName name="FRIDAY">'[1]09CNA Circ'!#REF!</definedName>
    <definedName name="MONDAY" localSheetId="3">'[1]09CNA Circ'!#REF!</definedName>
    <definedName name="MONDAY" localSheetId="2">'[1]09CNA Circ'!#REF!</definedName>
    <definedName name="MONDAY">'[1]09CNA Circ'!#REF!</definedName>
    <definedName name="_xlnm.Print_Area" localSheetId="4">'2013 Ownership by Province'!$A$1:$N$20</definedName>
    <definedName name="_xlnm.Print_Area" localSheetId="2">'2013 Total Circulation by Title'!$A$1:$BD$145</definedName>
    <definedName name="_xlnm.Print_Area" localSheetId="6">Terminology!$A$1:$A$35</definedName>
    <definedName name="_xlnm.Print_Titles" localSheetId="2">'2013 Total Circulation by Title'!$A:$Q,'2013 Total Circulation by Title'!$1:$3</definedName>
    <definedName name="SATURDAY" localSheetId="4">'[1]09CNA Circ'!#REF!</definedName>
    <definedName name="SATURDAY" localSheetId="3">'[1]09CNA Circ'!#REF!</definedName>
    <definedName name="SATURDAY" localSheetId="2">'[1]09CNA Circ'!#REF!</definedName>
    <definedName name="SATURDAY">'[1]09CNA Circ'!#REF!</definedName>
    <definedName name="SUNDAY" localSheetId="4">'[1]09CNA Circ'!#REF!</definedName>
    <definedName name="SUNDAY" localSheetId="3">'[1]09CNA Circ'!#REF!</definedName>
    <definedName name="SUNDAY" localSheetId="2">'[1]09CNA Circ'!#REF!</definedName>
    <definedName name="SUNDAY">'[1]09CNA Circ'!#REF!</definedName>
    <definedName name="THURSDAY" localSheetId="3">'[1]09CNA Circ'!#REF!</definedName>
    <definedName name="THURSDAY" localSheetId="2">'[1]09CNA Circ'!#REF!</definedName>
    <definedName name="THURSDAY">'[1]09CNA Circ'!#REF!</definedName>
    <definedName name="TUESDAY" localSheetId="3">'[1]09CNA Circ'!#REF!</definedName>
    <definedName name="TUESDAY" localSheetId="2">'[1]09CNA Circ'!#REF!</definedName>
    <definedName name="TUESDAY">'[1]09CNA Circ'!#REF!</definedName>
    <definedName name="WEDNESDAY" localSheetId="3">'[1]09CNA Circ'!#REF!</definedName>
    <definedName name="WEDNESDAY" localSheetId="2">'[1]09CNA Circ'!#REF!</definedName>
    <definedName name="WEDNESDAY">'[1]09CNA Circ'!#REF!</definedName>
  </definedNames>
  <calcPr calcId="145621"/>
</workbook>
</file>

<file path=xl/calcChain.xml><?xml version="1.0" encoding="utf-8"?>
<calcChain xmlns="http://schemas.openxmlformats.org/spreadsheetml/2006/main">
  <c r="M171" i="11" l="1"/>
  <c r="M170" i="11"/>
  <c r="K168" i="11"/>
  <c r="K167" i="11"/>
  <c r="K166" i="11"/>
  <c r="K165" i="11"/>
  <c r="K164" i="11"/>
  <c r="K163" i="11"/>
  <c r="K162" i="11"/>
  <c r="K161" i="11"/>
  <c r="K160" i="11"/>
  <c r="K159" i="11"/>
  <c r="K158" i="11"/>
  <c r="L116" i="11"/>
  <c r="D116" i="11"/>
  <c r="BD115" i="11"/>
  <c r="AS115" i="11"/>
  <c r="AP115" i="11"/>
  <c r="AL115" i="11"/>
  <c r="AX115" i="11" s="1"/>
  <c r="AK115" i="11"/>
  <c r="AJ115" i="11"/>
  <c r="Y115" i="11"/>
  <c r="X115" i="11"/>
  <c r="K115" i="11"/>
  <c r="BD114" i="11"/>
  <c r="AW114" i="11"/>
  <c r="AV114" i="11"/>
  <c r="BB114" i="11" s="1"/>
  <c r="BC114" i="11" s="1"/>
  <c r="K114" i="11"/>
  <c r="AZ113" i="11"/>
  <c r="AY113" i="11"/>
  <c r="AT113" i="11"/>
  <c r="AQ113" i="11"/>
  <c r="AL113" i="11"/>
  <c r="AX113" i="11" s="1"/>
  <c r="AK113" i="11"/>
  <c r="AJ113" i="11"/>
  <c r="V113" i="11"/>
  <c r="U113" i="11"/>
  <c r="AS113" i="11" s="1"/>
  <c r="S113" i="11"/>
  <c r="Y113" i="11" s="1"/>
  <c r="AW113" i="11" s="1"/>
  <c r="R113" i="11"/>
  <c r="AP113" i="11" s="1"/>
  <c r="K113" i="11"/>
  <c r="BD112" i="11"/>
  <c r="AW112" i="11"/>
  <c r="AV112" i="11"/>
  <c r="BB112" i="11" s="1"/>
  <c r="BC112" i="11" s="1"/>
  <c r="K112" i="11"/>
  <c r="AZ111" i="11"/>
  <c r="AY111" i="11"/>
  <c r="AT111" i="11"/>
  <c r="AQ111" i="11"/>
  <c r="AL111" i="11"/>
  <c r="AX111" i="11" s="1"/>
  <c r="AK111" i="11"/>
  <c r="AJ111" i="11"/>
  <c r="V111" i="11"/>
  <c r="U111" i="11"/>
  <c r="AS111" i="11" s="1"/>
  <c r="S111" i="11"/>
  <c r="Y111" i="11" s="1"/>
  <c r="AW111" i="11" s="1"/>
  <c r="R111" i="11"/>
  <c r="AP111" i="11" s="1"/>
  <c r="K111" i="11"/>
  <c r="BD110" i="11"/>
  <c r="AX110" i="11"/>
  <c r="AW110" i="11"/>
  <c r="AV110" i="11"/>
  <c r="AL110" i="11"/>
  <c r="AK110" i="11"/>
  <c r="AJ110" i="11"/>
  <c r="K110" i="11"/>
  <c r="AZ109" i="11"/>
  <c r="AY109" i="11"/>
  <c r="BD109" i="11" s="1"/>
  <c r="AX109" i="11"/>
  <c r="AQ109" i="11"/>
  <c r="AW109" i="11" s="1"/>
  <c r="AP109" i="11"/>
  <c r="AV109" i="11" s="1"/>
  <c r="AL109" i="11"/>
  <c r="AK109" i="11"/>
  <c r="AJ109" i="11"/>
  <c r="K109" i="11"/>
  <c r="AZ108" i="11"/>
  <c r="AY108" i="11"/>
  <c r="AT108" i="11"/>
  <c r="AQ108" i="11"/>
  <c r="AL108" i="11"/>
  <c r="AX108" i="11" s="1"/>
  <c r="AK108" i="11"/>
  <c r="AJ108" i="11"/>
  <c r="Y108" i="11"/>
  <c r="U108" i="11"/>
  <c r="AS108" i="11" s="1"/>
  <c r="R108" i="11"/>
  <c r="K108" i="11"/>
  <c r="AY107" i="11"/>
  <c r="BD107" i="11" s="1"/>
  <c r="AS107" i="11"/>
  <c r="AP107" i="11"/>
  <c r="AL107" i="11"/>
  <c r="AK107" i="11"/>
  <c r="AJ107" i="11"/>
  <c r="Z107" i="11"/>
  <c r="Y107" i="11"/>
  <c r="X107" i="11"/>
  <c r="K107" i="11"/>
  <c r="AZ106" i="11"/>
  <c r="AY106" i="11"/>
  <c r="AT106" i="11"/>
  <c r="AQ106" i="11"/>
  <c r="AL106" i="11"/>
  <c r="AX106" i="11" s="1"/>
  <c r="AK106" i="11"/>
  <c r="AJ106" i="11"/>
  <c r="V106" i="11"/>
  <c r="U106" i="11"/>
  <c r="AS106" i="11" s="1"/>
  <c r="S106" i="11"/>
  <c r="Y106" i="11" s="1"/>
  <c r="AW106" i="11" s="1"/>
  <c r="R106" i="11"/>
  <c r="AP106" i="11" s="1"/>
  <c r="K106" i="11"/>
  <c r="BA104" i="11"/>
  <c r="AZ104" i="11"/>
  <c r="AY104" i="11"/>
  <c r="AR104" i="11"/>
  <c r="AL104" i="11"/>
  <c r="AK104" i="11"/>
  <c r="AJ104" i="11"/>
  <c r="X104" i="11"/>
  <c r="W104" i="11"/>
  <c r="AU104" i="11" s="1"/>
  <c r="V104" i="11"/>
  <c r="AT104" i="11" s="1"/>
  <c r="U104" i="11"/>
  <c r="AS104" i="11" s="1"/>
  <c r="T104" i="11"/>
  <c r="Z104" i="11" s="1"/>
  <c r="AX104" i="11" s="1"/>
  <c r="S104" i="11"/>
  <c r="AQ104" i="11" s="1"/>
  <c r="R104" i="11"/>
  <c r="AP104" i="11" s="1"/>
  <c r="K104" i="11"/>
  <c r="BD105" i="11"/>
  <c r="BA105" i="11"/>
  <c r="AZ105" i="11"/>
  <c r="AY105" i="11"/>
  <c r="AX105" i="11"/>
  <c r="AW105" i="11"/>
  <c r="AV105" i="11"/>
  <c r="AL105" i="11"/>
  <c r="AK105" i="11"/>
  <c r="AJ105" i="11"/>
  <c r="K105" i="11"/>
  <c r="BD103" i="11"/>
  <c r="AW103" i="11"/>
  <c r="AV103" i="11"/>
  <c r="BB103" i="11" s="1"/>
  <c r="BC103" i="11" s="1"/>
  <c r="K103" i="11"/>
  <c r="BD102" i="11"/>
  <c r="AW102" i="11"/>
  <c r="AV102" i="11"/>
  <c r="BB102" i="11" s="1"/>
  <c r="BC102" i="11" s="1"/>
  <c r="K102" i="11"/>
  <c r="AZ100" i="11"/>
  <c r="AY100" i="11"/>
  <c r="AS100" i="11"/>
  <c r="AP100" i="11"/>
  <c r="AL100" i="11"/>
  <c r="AX100" i="11" s="1"/>
  <c r="AK100" i="11"/>
  <c r="AJ100" i="11"/>
  <c r="Y100" i="11"/>
  <c r="V100" i="11"/>
  <c r="AT100" i="11" s="1"/>
  <c r="U100" i="11"/>
  <c r="S100" i="11"/>
  <c r="AQ100" i="11" s="1"/>
  <c r="R100" i="11"/>
  <c r="X100" i="11" s="1"/>
  <c r="K100" i="11"/>
  <c r="BA101" i="11"/>
  <c r="AZ101" i="11"/>
  <c r="AY101" i="11"/>
  <c r="BD101" i="11" s="1"/>
  <c r="AX101" i="11"/>
  <c r="AW101" i="11"/>
  <c r="AV101" i="11"/>
  <c r="AL101" i="11"/>
  <c r="AK101" i="11"/>
  <c r="AJ101" i="11"/>
  <c r="K101" i="11"/>
  <c r="AZ99" i="11"/>
  <c r="AY99" i="11"/>
  <c r="AT99" i="11"/>
  <c r="AQ99" i="11"/>
  <c r="AL99" i="11"/>
  <c r="AX99" i="11" s="1"/>
  <c r="AK99" i="11"/>
  <c r="AJ99" i="11"/>
  <c r="V99" i="11"/>
  <c r="U99" i="11"/>
  <c r="AS99" i="11" s="1"/>
  <c r="S99" i="11"/>
  <c r="Y99" i="11" s="1"/>
  <c r="AW99" i="11" s="1"/>
  <c r="R99" i="11"/>
  <c r="AP99" i="11" s="1"/>
  <c r="K99" i="11"/>
  <c r="AY98" i="11"/>
  <c r="AT98" i="11"/>
  <c r="AQ98" i="11"/>
  <c r="AN98" i="11"/>
  <c r="AZ98" i="11" s="1"/>
  <c r="AM98" i="11"/>
  <c r="AL98" i="11"/>
  <c r="AX98" i="11" s="1"/>
  <c r="AK98" i="11"/>
  <c r="AJ98" i="11"/>
  <c r="V98" i="11"/>
  <c r="U98" i="11"/>
  <c r="AS98" i="11" s="1"/>
  <c r="S98" i="11"/>
  <c r="Y98" i="11" s="1"/>
  <c r="AW98" i="11" s="1"/>
  <c r="R98" i="11"/>
  <c r="AP98" i="11" s="1"/>
  <c r="K98" i="11"/>
  <c r="AZ97" i="11"/>
  <c r="AY97" i="11"/>
  <c r="AT97" i="11"/>
  <c r="AQ97" i="11"/>
  <c r="AL97" i="11"/>
  <c r="AX97" i="11" s="1"/>
  <c r="AK97" i="11"/>
  <c r="AJ97" i="11"/>
  <c r="V97" i="11"/>
  <c r="U97" i="11"/>
  <c r="AS97" i="11" s="1"/>
  <c r="S97" i="11"/>
  <c r="Y97" i="11" s="1"/>
  <c r="AW97" i="11" s="1"/>
  <c r="R97" i="11"/>
  <c r="AP97" i="11" s="1"/>
  <c r="K97" i="11"/>
  <c r="BA96" i="11"/>
  <c r="AZ96" i="11"/>
  <c r="AY96" i="11"/>
  <c r="AL96" i="11"/>
  <c r="AK96" i="11"/>
  <c r="AJ96" i="11"/>
  <c r="X96" i="11"/>
  <c r="W96" i="11"/>
  <c r="AU96" i="11" s="1"/>
  <c r="V96" i="11"/>
  <c r="AT96" i="11" s="1"/>
  <c r="U96" i="11"/>
  <c r="AS96" i="11" s="1"/>
  <c r="T96" i="11"/>
  <c r="Z96" i="11" s="1"/>
  <c r="S96" i="11"/>
  <c r="AQ96" i="11" s="1"/>
  <c r="R96" i="11"/>
  <c r="AP96" i="11" s="1"/>
  <c r="K96" i="11"/>
  <c r="BD95" i="11"/>
  <c r="AX95" i="11"/>
  <c r="AW95" i="11"/>
  <c r="AV95" i="11"/>
  <c r="AL95" i="11"/>
  <c r="AK95" i="11"/>
  <c r="AJ95" i="11"/>
  <c r="K95" i="11"/>
  <c r="BD94" i="11"/>
  <c r="AX94" i="11"/>
  <c r="AW94" i="11"/>
  <c r="AV94" i="11"/>
  <c r="AL94" i="11"/>
  <c r="AK94" i="11"/>
  <c r="AJ94" i="11"/>
  <c r="K94" i="11"/>
  <c r="BD93" i="11"/>
  <c r="AX93" i="11"/>
  <c r="AW93" i="11"/>
  <c r="AV93" i="11"/>
  <c r="AL93" i="11"/>
  <c r="AK93" i="11"/>
  <c r="AJ93" i="11"/>
  <c r="K93" i="11"/>
  <c r="AZ92" i="11"/>
  <c r="AY92" i="11"/>
  <c r="AT92" i="11"/>
  <c r="AQ92" i="11"/>
  <c r="AL92" i="11"/>
  <c r="AX92" i="11" s="1"/>
  <c r="AK92" i="11"/>
  <c r="AJ92" i="11"/>
  <c r="V92" i="11"/>
  <c r="U92" i="11"/>
  <c r="AS92" i="11" s="1"/>
  <c r="S92" i="11"/>
  <c r="Y92" i="11" s="1"/>
  <c r="AW92" i="11" s="1"/>
  <c r="R92" i="11"/>
  <c r="AP92" i="11" s="1"/>
  <c r="K92" i="11"/>
  <c r="BD91" i="11"/>
  <c r="AZ91" i="11"/>
  <c r="AY91" i="11"/>
  <c r="AX91" i="11"/>
  <c r="AW91" i="11"/>
  <c r="AV91" i="11"/>
  <c r="AL91" i="11"/>
  <c r="AK91" i="11"/>
  <c r="AJ91" i="11"/>
  <c r="K91" i="11"/>
  <c r="AZ90" i="11"/>
  <c r="AY90" i="11"/>
  <c r="BD90" i="11" s="1"/>
  <c r="AX90" i="11"/>
  <c r="AW90" i="11"/>
  <c r="AV90" i="11"/>
  <c r="AL90" i="11"/>
  <c r="AK90" i="11"/>
  <c r="AJ90" i="11"/>
  <c r="K90" i="11"/>
  <c r="BD89" i="11"/>
  <c r="AW89" i="11"/>
  <c r="AV89" i="11"/>
  <c r="BB89" i="11" s="1"/>
  <c r="BC89" i="11" s="1"/>
  <c r="K89" i="11"/>
  <c r="BD88" i="11"/>
  <c r="AW88" i="11"/>
  <c r="AV88" i="11"/>
  <c r="BB88" i="11" s="1"/>
  <c r="BC88" i="11" s="1"/>
  <c r="K88" i="11"/>
  <c r="BD87" i="11"/>
  <c r="AW87" i="11"/>
  <c r="AV87" i="11"/>
  <c r="BB87" i="11" s="1"/>
  <c r="BC87" i="11" s="1"/>
  <c r="K87" i="11"/>
  <c r="BA86" i="11"/>
  <c r="AZ86" i="11"/>
  <c r="BD86" i="11" s="1"/>
  <c r="AY86" i="11"/>
  <c r="AX86" i="11"/>
  <c r="AW86" i="11"/>
  <c r="AV86" i="11"/>
  <c r="AL86" i="11"/>
  <c r="AK86" i="11"/>
  <c r="AJ86" i="11"/>
  <c r="K86" i="11"/>
  <c r="BA85" i="11"/>
  <c r="AZ85" i="11"/>
  <c r="AY85" i="11"/>
  <c r="BD85" i="11" s="1"/>
  <c r="AX85" i="11"/>
  <c r="AW85" i="11"/>
  <c r="AV85" i="11"/>
  <c r="AL85" i="11"/>
  <c r="AK85" i="11"/>
  <c r="AJ85" i="11"/>
  <c r="K85" i="11"/>
  <c r="BD84" i="11"/>
  <c r="AX84" i="11"/>
  <c r="AW84" i="11"/>
  <c r="AV84" i="11"/>
  <c r="AL84" i="11"/>
  <c r="AK84" i="11"/>
  <c r="AJ84" i="11"/>
  <c r="K84" i="11"/>
  <c r="BA83" i="11"/>
  <c r="AZ83" i="11"/>
  <c r="AY83" i="11"/>
  <c r="AP83" i="11"/>
  <c r="AL83" i="11"/>
  <c r="AK83" i="11"/>
  <c r="AJ83" i="11"/>
  <c r="Z83" i="11"/>
  <c r="W83" i="11"/>
  <c r="AU83" i="11" s="1"/>
  <c r="V83" i="11"/>
  <c r="Y83" i="11" s="1"/>
  <c r="AW83" i="11" s="1"/>
  <c r="U83" i="11"/>
  <c r="AS83" i="11" s="1"/>
  <c r="T83" i="11"/>
  <c r="AR83" i="11" s="1"/>
  <c r="S83" i="11"/>
  <c r="AQ83" i="11" s="1"/>
  <c r="R83" i="11"/>
  <c r="X83" i="11" s="1"/>
  <c r="K83" i="11"/>
  <c r="AZ82" i="11"/>
  <c r="AY82" i="11"/>
  <c r="BD82" i="11" s="1"/>
  <c r="AX82" i="11"/>
  <c r="AW82" i="11"/>
  <c r="AV82" i="11"/>
  <c r="AL82" i="11"/>
  <c r="AK82" i="11"/>
  <c r="AJ82" i="11"/>
  <c r="K82" i="11"/>
  <c r="BD81" i="11"/>
  <c r="AX81" i="11"/>
  <c r="AW81" i="11"/>
  <c r="AV81" i="11"/>
  <c r="AL81" i="11"/>
  <c r="AK81" i="11"/>
  <c r="AJ81" i="11"/>
  <c r="K81" i="11"/>
  <c r="BD80" i="11"/>
  <c r="AX80" i="11"/>
  <c r="AW80" i="11"/>
  <c r="AV80" i="11"/>
  <c r="AL80" i="11"/>
  <c r="AK80" i="11"/>
  <c r="AJ80" i="11"/>
  <c r="K80" i="11"/>
  <c r="AZ79" i="11"/>
  <c r="AY79" i="11"/>
  <c r="BD79" i="11" s="1"/>
  <c r="AX79" i="11"/>
  <c r="AW79" i="11"/>
  <c r="AV79" i="11"/>
  <c r="AL79" i="11"/>
  <c r="AK79" i="11"/>
  <c r="AJ79" i="11"/>
  <c r="K79" i="11"/>
  <c r="BD78" i="11"/>
  <c r="AX78" i="11"/>
  <c r="AW78" i="11"/>
  <c r="AV78" i="11"/>
  <c r="AL78" i="11"/>
  <c r="AK78" i="11"/>
  <c r="AJ78" i="11"/>
  <c r="K78" i="11"/>
  <c r="AZ77" i="11"/>
  <c r="AY77" i="11"/>
  <c r="BD77" i="11" s="1"/>
  <c r="AX77" i="11"/>
  <c r="AW77" i="11"/>
  <c r="AV77" i="11"/>
  <c r="AL77" i="11"/>
  <c r="AK77" i="11"/>
  <c r="AJ77" i="11"/>
  <c r="K77" i="11"/>
  <c r="BD76" i="11"/>
  <c r="AX76" i="11"/>
  <c r="AW76" i="11"/>
  <c r="AV76" i="11"/>
  <c r="AL76" i="11"/>
  <c r="AK76" i="11"/>
  <c r="AJ76" i="11"/>
  <c r="K76" i="11"/>
  <c r="AZ75" i="11"/>
  <c r="AY75" i="11"/>
  <c r="BD75" i="11" s="1"/>
  <c r="AX75" i="11"/>
  <c r="AW75" i="11"/>
  <c r="AV75" i="11"/>
  <c r="AL75" i="11"/>
  <c r="AK75" i="11"/>
  <c r="AJ75" i="11"/>
  <c r="K75" i="11"/>
  <c r="BD74" i="11"/>
  <c r="AX74" i="11"/>
  <c r="AW74" i="11"/>
  <c r="AV74" i="11"/>
  <c r="BB74" i="11" s="1"/>
  <c r="BC74" i="11" s="1"/>
  <c r="AL74" i="11"/>
  <c r="AK74" i="11"/>
  <c r="AJ74" i="11"/>
  <c r="K74" i="11"/>
  <c r="BD73" i="11"/>
  <c r="AX73" i="11"/>
  <c r="AW73" i="11"/>
  <c r="AP73" i="11"/>
  <c r="AV73" i="11" s="1"/>
  <c r="AL73" i="11"/>
  <c r="AK73" i="11"/>
  <c r="AJ73" i="11"/>
  <c r="K73" i="11"/>
  <c r="BD72" i="11"/>
  <c r="AW72" i="11"/>
  <c r="AV72" i="11"/>
  <c r="BB72" i="11" s="1"/>
  <c r="BC72" i="11" s="1"/>
  <c r="K72" i="11"/>
  <c r="BA71" i="11"/>
  <c r="AZ71" i="11"/>
  <c r="AY71" i="11"/>
  <c r="BD71" i="11" s="1"/>
  <c r="AX71" i="11"/>
  <c r="AW71" i="11"/>
  <c r="AV71" i="11"/>
  <c r="AL71" i="11"/>
  <c r="AK71" i="11"/>
  <c r="AJ71" i="11"/>
  <c r="K71" i="11"/>
  <c r="AZ70" i="11"/>
  <c r="AY70" i="11"/>
  <c r="AT70" i="11"/>
  <c r="AQ70" i="11"/>
  <c r="AL70" i="11"/>
  <c r="AX70" i="11" s="1"/>
  <c r="AK70" i="11"/>
  <c r="AJ70" i="11"/>
  <c r="V70" i="11"/>
  <c r="U70" i="11"/>
  <c r="AS70" i="11" s="1"/>
  <c r="S70" i="11"/>
  <c r="Y70" i="11" s="1"/>
  <c r="AW70" i="11" s="1"/>
  <c r="R70" i="11"/>
  <c r="AP70" i="11" s="1"/>
  <c r="K70" i="11"/>
  <c r="AZ69" i="11"/>
  <c r="AY69" i="11"/>
  <c r="AT69" i="11"/>
  <c r="AQ69" i="11"/>
  <c r="AL69" i="11"/>
  <c r="AX69" i="11" s="1"/>
  <c r="AK69" i="11"/>
  <c r="AJ69" i="11"/>
  <c r="V69" i="11"/>
  <c r="U69" i="11"/>
  <c r="AS69" i="11" s="1"/>
  <c r="S69" i="11"/>
  <c r="Y69" i="11" s="1"/>
  <c r="AW69" i="11" s="1"/>
  <c r="R69" i="11"/>
  <c r="AP69" i="11" s="1"/>
  <c r="K69" i="11"/>
  <c r="BD68" i="11"/>
  <c r="AX68" i="11"/>
  <c r="AW68" i="11"/>
  <c r="AV68" i="11"/>
  <c r="AL68" i="11"/>
  <c r="AK68" i="11"/>
  <c r="AJ68" i="11"/>
  <c r="K68" i="11"/>
  <c r="AZ67" i="11"/>
  <c r="AY67" i="11"/>
  <c r="BD67" i="11" s="1"/>
  <c r="AX67" i="11"/>
  <c r="AW67" i="11"/>
  <c r="AV67" i="11"/>
  <c r="AL67" i="11"/>
  <c r="AK67" i="11"/>
  <c r="AJ67" i="11"/>
  <c r="K67" i="11"/>
  <c r="BD66" i="11"/>
  <c r="AZ66" i="11"/>
  <c r="AY66" i="11"/>
  <c r="AX66" i="11"/>
  <c r="AW66" i="11"/>
  <c r="AV66" i="11"/>
  <c r="AL66" i="11"/>
  <c r="AK66" i="11"/>
  <c r="AJ66" i="11"/>
  <c r="K66" i="11"/>
  <c r="AZ65" i="11"/>
  <c r="AY65" i="11"/>
  <c r="AT65" i="11"/>
  <c r="AQ65" i="11"/>
  <c r="AL65" i="11"/>
  <c r="AX65" i="11" s="1"/>
  <c r="AK65" i="11"/>
  <c r="AJ65" i="11"/>
  <c r="V65" i="11"/>
  <c r="U65" i="11"/>
  <c r="AS65" i="11" s="1"/>
  <c r="S65" i="11"/>
  <c r="Y65" i="11" s="1"/>
  <c r="AW65" i="11" s="1"/>
  <c r="R65" i="11"/>
  <c r="AP65" i="11" s="1"/>
  <c r="K65" i="11"/>
  <c r="AZ64" i="11"/>
  <c r="AY64" i="11"/>
  <c r="AT64" i="11"/>
  <c r="AQ64" i="11"/>
  <c r="AL64" i="11"/>
  <c r="AX64" i="11" s="1"/>
  <c r="AK64" i="11"/>
  <c r="AJ64" i="11"/>
  <c r="V64" i="11"/>
  <c r="U64" i="11"/>
  <c r="AS64" i="11" s="1"/>
  <c r="S64" i="11"/>
  <c r="Y64" i="11" s="1"/>
  <c r="AW64" i="11" s="1"/>
  <c r="R64" i="11"/>
  <c r="AP64" i="11" s="1"/>
  <c r="K64" i="11"/>
  <c r="BD63" i="11"/>
  <c r="AW63" i="11"/>
  <c r="AV63" i="11"/>
  <c r="BB63" i="11" s="1"/>
  <c r="BC63" i="11" s="1"/>
  <c r="K63" i="11"/>
  <c r="BD62" i="11"/>
  <c r="AZ62" i="11"/>
  <c r="AY62" i="11"/>
  <c r="AX62" i="11"/>
  <c r="AW62" i="11"/>
  <c r="AV62" i="11"/>
  <c r="AL62" i="11"/>
  <c r="AK62" i="11"/>
  <c r="AJ62" i="11"/>
  <c r="K62" i="11"/>
  <c r="AZ61" i="11"/>
  <c r="AY61" i="11"/>
  <c r="BD61" i="11" s="1"/>
  <c r="AX61" i="11"/>
  <c r="AW61" i="11"/>
  <c r="AV61" i="11"/>
  <c r="AL61" i="11"/>
  <c r="AK61" i="11"/>
  <c r="AJ61" i="11"/>
  <c r="K61" i="11"/>
  <c r="BD60" i="11"/>
  <c r="AX60" i="11"/>
  <c r="AW60" i="11"/>
  <c r="AV60" i="11"/>
  <c r="BB60" i="11" s="1"/>
  <c r="BC60" i="11" s="1"/>
  <c r="AL60" i="11"/>
  <c r="AK60" i="11"/>
  <c r="AJ60" i="11"/>
  <c r="K60" i="11"/>
  <c r="AZ59" i="11"/>
  <c r="AY59" i="11"/>
  <c r="BD59" i="11" s="1"/>
  <c r="AX59" i="11"/>
  <c r="AW59" i="11"/>
  <c r="AV59" i="11"/>
  <c r="AL59" i="11"/>
  <c r="AK59" i="11"/>
  <c r="AJ59" i="11"/>
  <c r="K59" i="11"/>
  <c r="BD58" i="11"/>
  <c r="AZ58" i="11"/>
  <c r="AY58" i="11"/>
  <c r="AX58" i="11"/>
  <c r="AW58" i="11"/>
  <c r="AV58" i="11"/>
  <c r="AL58" i="11"/>
  <c r="AK58" i="11"/>
  <c r="AJ58" i="11"/>
  <c r="K58" i="11"/>
  <c r="BD57" i="11"/>
  <c r="AX57" i="11"/>
  <c r="AW57" i="11"/>
  <c r="AP57" i="11"/>
  <c r="AV57" i="11" s="1"/>
  <c r="BB57" i="11" s="1"/>
  <c r="BC57" i="11" s="1"/>
  <c r="AL57" i="11"/>
  <c r="AK57" i="11"/>
  <c r="AJ57" i="11"/>
  <c r="K57" i="11"/>
  <c r="AZ56" i="11"/>
  <c r="BD56" i="11" s="1"/>
  <c r="AY56" i="11"/>
  <c r="AX56" i="11"/>
  <c r="AW56" i="11"/>
  <c r="AV56" i="11"/>
  <c r="AL56" i="11"/>
  <c r="AK56" i="11"/>
  <c r="AJ56" i="11"/>
  <c r="K56" i="11"/>
  <c r="BD55" i="11"/>
  <c r="AX55" i="11"/>
  <c r="AW55" i="11"/>
  <c r="AV55" i="11"/>
  <c r="AL55" i="11"/>
  <c r="AK55" i="11"/>
  <c r="AJ55" i="11"/>
  <c r="K55" i="11"/>
  <c r="AZ54" i="11"/>
  <c r="AY54" i="11"/>
  <c r="AX54" i="11"/>
  <c r="AW54" i="11"/>
  <c r="AV54" i="11"/>
  <c r="AL54" i="11"/>
  <c r="AK54" i="11"/>
  <c r="AJ54" i="11"/>
  <c r="K54" i="11"/>
  <c r="BD53" i="11"/>
  <c r="AX53" i="11"/>
  <c r="AW53" i="11"/>
  <c r="AV53" i="11"/>
  <c r="AL53" i="11"/>
  <c r="AK53" i="11"/>
  <c r="AJ53" i="11"/>
  <c r="K53" i="11"/>
  <c r="AZ52" i="11"/>
  <c r="AY52" i="11"/>
  <c r="BD52" i="11" s="1"/>
  <c r="AX52" i="11"/>
  <c r="AW52" i="11"/>
  <c r="AV52" i="11"/>
  <c r="AL52" i="11"/>
  <c r="AK52" i="11"/>
  <c r="AJ52" i="11"/>
  <c r="K52" i="11"/>
  <c r="AZ51" i="11"/>
  <c r="BD51" i="11" s="1"/>
  <c r="AY51" i="11"/>
  <c r="AX51" i="11"/>
  <c r="AW51" i="11"/>
  <c r="AV51" i="11"/>
  <c r="AL51" i="11"/>
  <c r="AK51" i="11"/>
  <c r="AJ51" i="11"/>
  <c r="K51" i="11"/>
  <c r="BD50" i="11"/>
  <c r="AX50" i="11"/>
  <c r="AW50" i="11"/>
  <c r="AV50" i="11"/>
  <c r="AP50" i="11"/>
  <c r="AL50" i="11"/>
  <c r="AK50" i="11"/>
  <c r="AJ50" i="11"/>
  <c r="K50" i="11"/>
  <c r="BD49" i="11"/>
  <c r="AX49" i="11"/>
  <c r="AW49" i="11"/>
  <c r="AV49" i="11"/>
  <c r="AL49" i="11"/>
  <c r="AK49" i="11"/>
  <c r="AJ49" i="11"/>
  <c r="K49" i="11"/>
  <c r="BD48" i="11"/>
  <c r="AX48" i="11"/>
  <c r="AW48" i="11"/>
  <c r="AV48" i="11"/>
  <c r="AL48" i="11"/>
  <c r="AK48" i="11"/>
  <c r="AJ48" i="11"/>
  <c r="K48" i="11"/>
  <c r="BD47" i="11"/>
  <c r="AX47" i="11"/>
  <c r="AW47" i="11"/>
  <c r="AV47" i="11"/>
  <c r="AL47" i="11"/>
  <c r="AK47" i="11"/>
  <c r="AJ47" i="11"/>
  <c r="K47" i="11"/>
  <c r="BD46" i="11"/>
  <c r="AW46" i="11"/>
  <c r="AV46" i="11"/>
  <c r="BB46" i="11" s="1"/>
  <c r="BC46" i="11" s="1"/>
  <c r="K46" i="11"/>
  <c r="AT45" i="11"/>
  <c r="AS45" i="11"/>
  <c r="AQ45" i="11"/>
  <c r="AN45" i="11"/>
  <c r="AM45" i="11"/>
  <c r="AY45" i="11" s="1"/>
  <c r="AL45" i="11"/>
  <c r="AX45" i="11" s="1"/>
  <c r="AK45" i="11"/>
  <c r="AJ45" i="11"/>
  <c r="AC45" i="11"/>
  <c r="AB45" i="11"/>
  <c r="AZ45" i="11" s="1"/>
  <c r="AA45" i="11"/>
  <c r="Y45" i="11"/>
  <c r="T45" i="11"/>
  <c r="S45" i="11"/>
  <c r="R45" i="11"/>
  <c r="AP45" i="11" s="1"/>
  <c r="K45" i="11"/>
  <c r="BD44" i="11"/>
  <c r="AZ44" i="11"/>
  <c r="AY44" i="11"/>
  <c r="AX44" i="11"/>
  <c r="AW44" i="11"/>
  <c r="AV44" i="11"/>
  <c r="AL44" i="11"/>
  <c r="AK44" i="11"/>
  <c r="AJ44" i="11"/>
  <c r="K44" i="11"/>
  <c r="BD43" i="11"/>
  <c r="AX43" i="11"/>
  <c r="AW43" i="11"/>
  <c r="AV43" i="11"/>
  <c r="AL43" i="11"/>
  <c r="AK43" i="11"/>
  <c r="AJ43" i="11"/>
  <c r="K43" i="11"/>
  <c r="BD42" i="11"/>
  <c r="AT42" i="11"/>
  <c r="AQ42" i="11"/>
  <c r="V42" i="11"/>
  <c r="U42" i="11"/>
  <c r="AS42" i="11" s="1"/>
  <c r="S42" i="11"/>
  <c r="Y42" i="11" s="1"/>
  <c r="AW42" i="11" s="1"/>
  <c r="R42" i="11"/>
  <c r="AP42" i="11" s="1"/>
  <c r="K42" i="11"/>
  <c r="BD41" i="11"/>
  <c r="AT41" i="11"/>
  <c r="AQ41" i="11"/>
  <c r="V41" i="11"/>
  <c r="U41" i="11"/>
  <c r="AS41" i="11" s="1"/>
  <c r="S41" i="11"/>
  <c r="Y41" i="11" s="1"/>
  <c r="AW41" i="11" s="1"/>
  <c r="R41" i="11"/>
  <c r="AP41" i="11" s="1"/>
  <c r="K41" i="11"/>
  <c r="BD40" i="11"/>
  <c r="AT40" i="11"/>
  <c r="AQ40" i="11"/>
  <c r="V40" i="11"/>
  <c r="U40" i="11"/>
  <c r="AS40" i="11" s="1"/>
  <c r="S40" i="11"/>
  <c r="Y40" i="11" s="1"/>
  <c r="AW40" i="11" s="1"/>
  <c r="R40" i="11"/>
  <c r="AP40" i="11" s="1"/>
  <c r="K40" i="11"/>
  <c r="BD39" i="11"/>
  <c r="AX39" i="11"/>
  <c r="AW39" i="11"/>
  <c r="AV39" i="11"/>
  <c r="AL39" i="11"/>
  <c r="AK39" i="11"/>
  <c r="AJ39" i="11"/>
  <c r="K39" i="11"/>
  <c r="BD38" i="11"/>
  <c r="AW38" i="11"/>
  <c r="AV38" i="11"/>
  <c r="BB38" i="11" s="1"/>
  <c r="BC38" i="11" s="1"/>
  <c r="K38" i="11"/>
  <c r="BA37" i="11"/>
  <c r="AZ37" i="11"/>
  <c r="BD37" i="11" s="1"/>
  <c r="AY37" i="11"/>
  <c r="AX37" i="11"/>
  <c r="AW37" i="11"/>
  <c r="AV37" i="11"/>
  <c r="AL37" i="11"/>
  <c r="AK37" i="11"/>
  <c r="AJ37" i="11"/>
  <c r="K37" i="11"/>
  <c r="AT36" i="11"/>
  <c r="AS36" i="11"/>
  <c r="AP36" i="11"/>
  <c r="AL36" i="11"/>
  <c r="AX36" i="11" s="1"/>
  <c r="AK36" i="11"/>
  <c r="AJ36" i="11"/>
  <c r="AB36" i="11"/>
  <c r="AZ36" i="11" s="1"/>
  <c r="AA36" i="11"/>
  <c r="AY36" i="11" s="1"/>
  <c r="Y36" i="11"/>
  <c r="AW36" i="11" s="1"/>
  <c r="S36" i="11"/>
  <c r="AQ36" i="11" s="1"/>
  <c r="R36" i="11"/>
  <c r="X36" i="11" s="1"/>
  <c r="K36" i="11"/>
  <c r="AZ35" i="11"/>
  <c r="AY35" i="11"/>
  <c r="AT35" i="11"/>
  <c r="AS35" i="11"/>
  <c r="AP35" i="11"/>
  <c r="AL35" i="11"/>
  <c r="AX35" i="11" s="1"/>
  <c r="AK35" i="11"/>
  <c r="AJ35" i="11"/>
  <c r="Y35" i="11"/>
  <c r="S35" i="11"/>
  <c r="AQ35" i="11" s="1"/>
  <c r="R35" i="11"/>
  <c r="X35" i="11" s="1"/>
  <c r="K35" i="11"/>
  <c r="BD34" i="11"/>
  <c r="AW34" i="11"/>
  <c r="AV34" i="11"/>
  <c r="BB34" i="11" s="1"/>
  <c r="BC34" i="11" s="1"/>
  <c r="K34" i="11"/>
  <c r="BA33" i="11"/>
  <c r="AZ33" i="11"/>
  <c r="AY33" i="11"/>
  <c r="AQ33" i="11"/>
  <c r="AL33" i="11"/>
  <c r="AK33" i="11"/>
  <c r="AJ33" i="11"/>
  <c r="W33" i="11"/>
  <c r="AU33" i="11" s="1"/>
  <c r="V33" i="11"/>
  <c r="AT33" i="11" s="1"/>
  <c r="U33" i="11"/>
  <c r="AS33" i="11" s="1"/>
  <c r="T33" i="11"/>
  <c r="S33" i="11"/>
  <c r="Y33" i="11" s="1"/>
  <c r="R33" i="11"/>
  <c r="AP33" i="11" s="1"/>
  <c r="K33" i="11"/>
  <c r="BD32" i="11"/>
  <c r="AW32" i="11"/>
  <c r="AV32" i="11"/>
  <c r="BB32" i="11" s="1"/>
  <c r="BC32" i="11" s="1"/>
  <c r="K32" i="11"/>
  <c r="BD30" i="11"/>
  <c r="AW30" i="11"/>
  <c r="AV30" i="11"/>
  <c r="BB30" i="11" s="1"/>
  <c r="BC30" i="11" s="1"/>
  <c r="K30" i="11"/>
  <c r="BD31" i="11"/>
  <c r="AW31" i="11"/>
  <c r="AV31" i="11"/>
  <c r="K31" i="11"/>
  <c r="BD29" i="11"/>
  <c r="AW29" i="11"/>
  <c r="AV29" i="11"/>
  <c r="BB29" i="11" s="1"/>
  <c r="BC29" i="11" s="1"/>
  <c r="K29" i="11"/>
  <c r="AZ28" i="11"/>
  <c r="AY28" i="11"/>
  <c r="AS28" i="11"/>
  <c r="AP28" i="11"/>
  <c r="AL28" i="11"/>
  <c r="AX28" i="11" s="1"/>
  <c r="AK28" i="11"/>
  <c r="AJ28" i="11"/>
  <c r="V28" i="11"/>
  <c r="AT28" i="11" s="1"/>
  <c r="U28" i="11"/>
  <c r="S28" i="11"/>
  <c r="AQ28" i="11" s="1"/>
  <c r="R28" i="11"/>
  <c r="X28" i="11" s="1"/>
  <c r="AV28" i="11" s="1"/>
  <c r="K28" i="11"/>
  <c r="BA27" i="11"/>
  <c r="AY27" i="11"/>
  <c r="AS27" i="11"/>
  <c r="AP27" i="11"/>
  <c r="AL27" i="11"/>
  <c r="AK27" i="11"/>
  <c r="AW27" i="11" s="1"/>
  <c r="AJ27" i="11"/>
  <c r="W27" i="11"/>
  <c r="AU27" i="11" s="1"/>
  <c r="U27" i="11"/>
  <c r="T27" i="11"/>
  <c r="AR27" i="11" s="1"/>
  <c r="R27" i="11"/>
  <c r="X27" i="11" s="1"/>
  <c r="AV27" i="11" s="1"/>
  <c r="K27" i="11"/>
  <c r="BD26" i="11"/>
  <c r="AX26" i="11"/>
  <c r="AW26" i="11"/>
  <c r="AV26" i="11"/>
  <c r="BB26" i="11" s="1"/>
  <c r="BC26" i="11" s="1"/>
  <c r="AL26" i="11"/>
  <c r="AK26" i="11"/>
  <c r="AJ26" i="11"/>
  <c r="K26" i="11"/>
  <c r="AZ25" i="11"/>
  <c r="AU25" i="11"/>
  <c r="AT25" i="11"/>
  <c r="AS25" i="11"/>
  <c r="AQ25" i="11"/>
  <c r="AM25" i="11"/>
  <c r="AY25" i="11" s="1"/>
  <c r="AL25" i="11"/>
  <c r="AK25" i="11"/>
  <c r="AD25" i="11"/>
  <c r="AJ25" i="11" s="1"/>
  <c r="Z25" i="11"/>
  <c r="Y25" i="11"/>
  <c r="R25" i="11"/>
  <c r="AP25" i="11" s="1"/>
  <c r="K25" i="11"/>
  <c r="BD24" i="11"/>
  <c r="AS24" i="11"/>
  <c r="AL24" i="11"/>
  <c r="AK24" i="11"/>
  <c r="AG24" i="11"/>
  <c r="AD24" i="11"/>
  <c r="Z24" i="11"/>
  <c r="Y24" i="11"/>
  <c r="AW24" i="11" s="1"/>
  <c r="X24" i="11"/>
  <c r="K24" i="11"/>
  <c r="BA23" i="11"/>
  <c r="AZ23" i="11"/>
  <c r="AY23" i="11"/>
  <c r="AL23" i="11"/>
  <c r="AK23" i="11"/>
  <c r="AJ23" i="11"/>
  <c r="Y23" i="11"/>
  <c r="W23" i="11"/>
  <c r="AU23" i="11" s="1"/>
  <c r="V23" i="11"/>
  <c r="AT23" i="11" s="1"/>
  <c r="U23" i="11"/>
  <c r="AS23" i="11" s="1"/>
  <c r="T23" i="11"/>
  <c r="AR23" i="11" s="1"/>
  <c r="S23" i="11"/>
  <c r="AQ23" i="11" s="1"/>
  <c r="R23" i="11"/>
  <c r="K23" i="11"/>
  <c r="BD22" i="11"/>
  <c r="AW22" i="11"/>
  <c r="AV22" i="11"/>
  <c r="BB22" i="11" s="1"/>
  <c r="BC22" i="11" s="1"/>
  <c r="K22" i="11"/>
  <c r="BD21" i="11"/>
  <c r="AT21" i="11"/>
  <c r="AS21" i="11"/>
  <c r="AP21" i="11"/>
  <c r="AL21" i="11"/>
  <c r="AX21" i="11" s="1"/>
  <c r="AJ21" i="11"/>
  <c r="AE21" i="11"/>
  <c r="Y21" i="11"/>
  <c r="R21" i="11"/>
  <c r="X21" i="11" s="1"/>
  <c r="K21" i="11"/>
  <c r="BD20" i="11"/>
  <c r="AX20" i="11"/>
  <c r="AW20" i="11"/>
  <c r="AV20" i="11"/>
  <c r="BB20" i="11" s="1"/>
  <c r="BC20" i="11" s="1"/>
  <c r="AL20" i="11"/>
  <c r="AK20" i="11"/>
  <c r="AJ20" i="11"/>
  <c r="K20" i="11"/>
  <c r="BA19" i="11"/>
  <c r="AZ19" i="11"/>
  <c r="AY19" i="11"/>
  <c r="AL19" i="11"/>
  <c r="AK19" i="11"/>
  <c r="AJ19" i="11"/>
  <c r="X19" i="11"/>
  <c r="W19" i="11"/>
  <c r="AU19" i="11" s="1"/>
  <c r="V19" i="11"/>
  <c r="AT19" i="11" s="1"/>
  <c r="U19" i="11"/>
  <c r="AS19" i="11" s="1"/>
  <c r="T19" i="11"/>
  <c r="S19" i="11"/>
  <c r="Y19" i="11" s="1"/>
  <c r="R19" i="11"/>
  <c r="AP19" i="11" s="1"/>
  <c r="K19" i="11"/>
  <c r="BD18" i="11"/>
  <c r="AX18" i="11"/>
  <c r="AW18" i="11"/>
  <c r="AV18" i="11"/>
  <c r="AL18" i="11"/>
  <c r="AK18" i="11"/>
  <c r="AJ18" i="11"/>
  <c r="K18" i="11"/>
  <c r="BD17" i="11"/>
  <c r="AX17" i="11"/>
  <c r="AW17" i="11"/>
  <c r="AV17" i="11"/>
  <c r="BB17" i="11" s="1"/>
  <c r="BC17" i="11" s="1"/>
  <c r="AL17" i="11"/>
  <c r="AK17" i="11"/>
  <c r="AJ17" i="11"/>
  <c r="K17" i="11"/>
  <c r="BD16" i="11"/>
  <c r="AX16" i="11"/>
  <c r="AW16" i="11"/>
  <c r="AV16" i="11"/>
  <c r="BB16" i="11" s="1"/>
  <c r="BC16" i="11" s="1"/>
  <c r="AL16" i="11"/>
  <c r="AK16" i="11"/>
  <c r="AJ16" i="11"/>
  <c r="K16" i="11"/>
  <c r="BD15" i="11"/>
  <c r="AX15" i="11"/>
  <c r="AW15" i="11"/>
  <c r="AV15" i="11"/>
  <c r="AL15" i="11"/>
  <c r="AK15" i="11"/>
  <c r="AJ15" i="11"/>
  <c r="K15" i="11"/>
  <c r="AZ14" i="11"/>
  <c r="AY14" i="11"/>
  <c r="AU14" i="11"/>
  <c r="AT14" i="11"/>
  <c r="AR14" i="11"/>
  <c r="AP14" i="11"/>
  <c r="AL14" i="11"/>
  <c r="AX14" i="11" s="1"/>
  <c r="AK14" i="11"/>
  <c r="AJ14" i="11"/>
  <c r="V14" i="11"/>
  <c r="U14" i="11"/>
  <c r="AS14" i="11" s="1"/>
  <c r="S14" i="11"/>
  <c r="AQ14" i="11" s="1"/>
  <c r="R14" i="11"/>
  <c r="X14" i="11" s="1"/>
  <c r="AV14" i="11" s="1"/>
  <c r="K14" i="11"/>
  <c r="AZ13" i="11"/>
  <c r="AY13" i="11"/>
  <c r="AU13" i="11"/>
  <c r="AT13" i="11"/>
  <c r="AS13" i="11"/>
  <c r="AR13" i="11"/>
  <c r="AQ13" i="11"/>
  <c r="AP13" i="11"/>
  <c r="AL13" i="11"/>
  <c r="AX13" i="11" s="1"/>
  <c r="AK13" i="11"/>
  <c r="AJ13" i="11"/>
  <c r="Y13" i="11"/>
  <c r="X13" i="11"/>
  <c r="K13" i="11"/>
  <c r="BA12" i="11"/>
  <c r="AZ12" i="11"/>
  <c r="AY12" i="11"/>
  <c r="AU12" i="11"/>
  <c r="AQ12" i="11"/>
  <c r="AL12" i="11"/>
  <c r="AK12" i="11"/>
  <c r="AJ12" i="11"/>
  <c r="X12" i="11"/>
  <c r="W12" i="11"/>
  <c r="V12" i="11"/>
  <c r="AT12" i="11" s="1"/>
  <c r="U12" i="11"/>
  <c r="AS12" i="11" s="1"/>
  <c r="T12" i="11"/>
  <c r="Z12" i="11" s="1"/>
  <c r="S12" i="11"/>
  <c r="Y12" i="11" s="1"/>
  <c r="R12" i="11"/>
  <c r="AP12" i="11" s="1"/>
  <c r="K12" i="11"/>
  <c r="BD11" i="11"/>
  <c r="AU11" i="11"/>
  <c r="AT11" i="11"/>
  <c r="AS11" i="11"/>
  <c r="AR11" i="11"/>
  <c r="AQ11" i="11"/>
  <c r="AP11" i="11"/>
  <c r="AL11" i="11"/>
  <c r="AK11" i="11"/>
  <c r="AJ11" i="11"/>
  <c r="Z11" i="11"/>
  <c r="Y11" i="11"/>
  <c r="X11" i="11"/>
  <c r="K11" i="11"/>
  <c r="BD10" i="11"/>
  <c r="AU10" i="11"/>
  <c r="AT10" i="11"/>
  <c r="AS10" i="11"/>
  <c r="AR10" i="11"/>
  <c r="AQ10" i="11"/>
  <c r="AP10" i="11"/>
  <c r="AL10" i="11"/>
  <c r="AK10" i="11"/>
  <c r="AJ10" i="11"/>
  <c r="Z10" i="11"/>
  <c r="Y10" i="11"/>
  <c r="X10" i="11"/>
  <c r="K10" i="11"/>
  <c r="BD9" i="11"/>
  <c r="AW9" i="11"/>
  <c r="AV9" i="11"/>
  <c r="BB9" i="11" s="1"/>
  <c r="BC9" i="11" s="1"/>
  <c r="K9" i="11"/>
  <c r="BD8" i="11"/>
  <c r="AY8" i="11"/>
  <c r="AX8" i="11"/>
  <c r="AW8" i="11"/>
  <c r="AV8" i="11"/>
  <c r="AL8" i="11"/>
  <c r="AK8" i="11"/>
  <c r="AJ8" i="11"/>
  <c r="K8" i="11"/>
  <c r="AZ7" i="11"/>
  <c r="AY7" i="11"/>
  <c r="AU7" i="11"/>
  <c r="AT7" i="11"/>
  <c r="AS7" i="11"/>
  <c r="AR7" i="11"/>
  <c r="AL7" i="11"/>
  <c r="AX7" i="11" s="1"/>
  <c r="AK7" i="11"/>
  <c r="AJ7" i="11"/>
  <c r="V7" i="11"/>
  <c r="U7" i="11"/>
  <c r="S7" i="11"/>
  <c r="Y7" i="11" s="1"/>
  <c r="AW7" i="11" s="1"/>
  <c r="R7" i="11"/>
  <c r="AP7" i="11" s="1"/>
  <c r="K7" i="11"/>
  <c r="BD6" i="11"/>
  <c r="AW6" i="11"/>
  <c r="AV6" i="11"/>
  <c r="BB6" i="11" s="1"/>
  <c r="BC6" i="11" s="1"/>
  <c r="K6" i="11"/>
  <c r="BD5" i="11"/>
  <c r="BA5" i="11"/>
  <c r="AZ5" i="11"/>
  <c r="AY5" i="11"/>
  <c r="AX5" i="11"/>
  <c r="AW5" i="11"/>
  <c r="AV5" i="11"/>
  <c r="AL5" i="11"/>
  <c r="AK5" i="11"/>
  <c r="AJ5" i="11"/>
  <c r="K5" i="11"/>
  <c r="AZ4" i="11"/>
  <c r="AY4" i="11"/>
  <c r="AX4" i="11"/>
  <c r="AU4" i="11"/>
  <c r="AR4" i="11"/>
  <c r="AK4" i="11"/>
  <c r="AJ4" i="11"/>
  <c r="V4" i="11"/>
  <c r="AT4" i="11" s="1"/>
  <c r="U4" i="11"/>
  <c r="AS4" i="11" s="1"/>
  <c r="S4" i="11"/>
  <c r="AQ4" i="11" s="1"/>
  <c r="R4" i="11"/>
  <c r="AP4" i="11" s="1"/>
  <c r="K4" i="11"/>
  <c r="AW33" i="11" l="1"/>
  <c r="AV35" i="11"/>
  <c r="AV83" i="11"/>
  <c r="AX96" i="11"/>
  <c r="AV100" i="11"/>
  <c r="AW11" i="11"/>
  <c r="AV21" i="11"/>
  <c r="BB68" i="11"/>
  <c r="BC68" i="11" s="1"/>
  <c r="BB81" i="11"/>
  <c r="BC81" i="11" s="1"/>
  <c r="AV13" i="11"/>
  <c r="BB13" i="11" s="1"/>
  <c r="BC13" i="11" s="1"/>
  <c r="BD70" i="11"/>
  <c r="BD104" i="11"/>
  <c r="BB110" i="11"/>
  <c r="BC110" i="11" s="1"/>
  <c r="BD7" i="11"/>
  <c r="BD25" i="11"/>
  <c r="BD27" i="11"/>
  <c r="BD35" i="11"/>
  <c r="BD100" i="11"/>
  <c r="AV104" i="11"/>
  <c r="AW23" i="11"/>
  <c r="AX25" i="11"/>
  <c r="BB80" i="11"/>
  <c r="BC80" i="11" s="1"/>
  <c r="AX83" i="11"/>
  <c r="BB83" i="11" s="1"/>
  <c r="BC83" i="11" s="1"/>
  <c r="BB95" i="11"/>
  <c r="BC95" i="11" s="1"/>
  <c r="AV107" i="11"/>
  <c r="BB107" i="11" s="1"/>
  <c r="BC107" i="11" s="1"/>
  <c r="BB109" i="11"/>
  <c r="BC109" i="11" s="1"/>
  <c r="BD111" i="11"/>
  <c r="AW10" i="11"/>
  <c r="AW12" i="11"/>
  <c r="BD13" i="11"/>
  <c r="AW35" i="11"/>
  <c r="BD64" i="11"/>
  <c r="BD65" i="11"/>
  <c r="BD36" i="11"/>
  <c r="AW45" i="11"/>
  <c r="BB62" i="11"/>
  <c r="BC62" i="11" s="1"/>
  <c r="BD83" i="11"/>
  <c r="BB86" i="11"/>
  <c r="BC86" i="11" s="1"/>
  <c r="BB91" i="11"/>
  <c r="BC91" i="11" s="1"/>
  <c r="AV96" i="11"/>
  <c r="BD96" i="11"/>
  <c r="AX107" i="11"/>
  <c r="BD108" i="11"/>
  <c r="BB49" i="11"/>
  <c r="BC49" i="11" s="1"/>
  <c r="BB56" i="11"/>
  <c r="BC56" i="11" s="1"/>
  <c r="AW108" i="11"/>
  <c r="AW19" i="11"/>
  <c r="BB31" i="11"/>
  <c r="BC31" i="11" s="1"/>
  <c r="BB47" i="11"/>
  <c r="BC47" i="11" s="1"/>
  <c r="BB73" i="11"/>
  <c r="BC73" i="11" s="1"/>
  <c r="BB75" i="11"/>
  <c r="BC75" i="11" s="1"/>
  <c r="BD92" i="11"/>
  <c r="BD99" i="11"/>
  <c r="AW115" i="11"/>
  <c r="AW13" i="11"/>
  <c r="BB8" i="11"/>
  <c r="BC8" i="11" s="1"/>
  <c r="BB39" i="11"/>
  <c r="BC39" i="11" s="1"/>
  <c r="BD69" i="11"/>
  <c r="BB71" i="11"/>
  <c r="BC71" i="11" s="1"/>
  <c r="BB78" i="11"/>
  <c r="BC78" i="11" s="1"/>
  <c r="BB94" i="11"/>
  <c r="BC94" i="11" s="1"/>
  <c r="BD97" i="11"/>
  <c r="BD113" i="11"/>
  <c r="BB5" i="11"/>
  <c r="BC5" i="11" s="1"/>
  <c r="BB58" i="11"/>
  <c r="BC58" i="11" s="1"/>
  <c r="AW100" i="11"/>
  <c r="BB105" i="11"/>
  <c r="BC105" i="11" s="1"/>
  <c r="AV115" i="11"/>
  <c r="BB115" i="11" s="1"/>
  <c r="BC115" i="11" s="1"/>
  <c r="AV10" i="11"/>
  <c r="BB10" i="11" s="1"/>
  <c r="BC10" i="11" s="1"/>
  <c r="AX11" i="11"/>
  <c r="BD12" i="11"/>
  <c r="BD14" i="11"/>
  <c r="BB15" i="11"/>
  <c r="BC15" i="11" s="1"/>
  <c r="BB18" i="11"/>
  <c r="BC18" i="11" s="1"/>
  <c r="BD19" i="11"/>
  <c r="BD23" i="11"/>
  <c r="BD28" i="11"/>
  <c r="BB37" i="11"/>
  <c r="BC37" i="11" s="1"/>
  <c r="BB53" i="11"/>
  <c r="BC53" i="11" s="1"/>
  <c r="BB54" i="11"/>
  <c r="BC54" i="11" s="1"/>
  <c r="BB61" i="11"/>
  <c r="BC61" i="11" s="1"/>
  <c r="BB66" i="11"/>
  <c r="BC66" i="11" s="1"/>
  <c r="BB76" i="11"/>
  <c r="BC76" i="11" s="1"/>
  <c r="BB77" i="11"/>
  <c r="BC77" i="11" s="1"/>
  <c r="BB82" i="11"/>
  <c r="BC82" i="11" s="1"/>
  <c r="BB84" i="11"/>
  <c r="BC84" i="11" s="1"/>
  <c r="BB85" i="11"/>
  <c r="BC85" i="11" s="1"/>
  <c r="BB101" i="11"/>
  <c r="BC101" i="11" s="1"/>
  <c r="BD106" i="11"/>
  <c r="BB100" i="11"/>
  <c r="BC100" i="11" s="1"/>
  <c r="AZ116" i="11"/>
  <c r="AX10" i="11"/>
  <c r="AV11" i="11"/>
  <c r="BB11" i="11" s="1"/>
  <c r="BC11" i="11" s="1"/>
  <c r="AX12" i="11"/>
  <c r="AX24" i="11"/>
  <c r="BD33" i="11"/>
  <c r="AV36" i="11"/>
  <c r="BB36" i="11" s="1"/>
  <c r="BC36" i="11" s="1"/>
  <c r="BB43" i="11"/>
  <c r="BC43" i="11" s="1"/>
  <c r="BB44" i="11"/>
  <c r="BC44" i="11" s="1"/>
  <c r="BD45" i="11"/>
  <c r="BB48" i="11"/>
  <c r="BC48" i="11" s="1"/>
  <c r="BB51" i="11"/>
  <c r="BC51" i="11" s="1"/>
  <c r="BB59" i="11"/>
  <c r="BC59" i="11" s="1"/>
  <c r="BB79" i="11"/>
  <c r="BC79" i="11" s="1"/>
  <c r="BB90" i="11"/>
  <c r="BC90" i="11" s="1"/>
  <c r="BB93" i="11"/>
  <c r="BC93" i="11" s="1"/>
  <c r="BB67" i="11"/>
  <c r="BC67" i="11" s="1"/>
  <c r="X7" i="11"/>
  <c r="AV7" i="11" s="1"/>
  <c r="BB7" i="11" s="1"/>
  <c r="BC7" i="11" s="1"/>
  <c r="AJ24" i="11"/>
  <c r="AV24" i="11" s="1"/>
  <c r="BB24" i="11" s="1"/>
  <c r="BC24" i="11" s="1"/>
  <c r="AP24" i="11"/>
  <c r="X41" i="11"/>
  <c r="AV41" i="11" s="1"/>
  <c r="BB41" i="11" s="1"/>
  <c r="BC41" i="11" s="1"/>
  <c r="AS116" i="11"/>
  <c r="BD4" i="11"/>
  <c r="AV12" i="11"/>
  <c r="Y14" i="11"/>
  <c r="AW14" i="11" s="1"/>
  <c r="BB14" i="11" s="1"/>
  <c r="BC14" i="11" s="1"/>
  <c r="AK21" i="11"/>
  <c r="AW21" i="11" s="1"/>
  <c r="BB21" i="11" s="1"/>
  <c r="BC21" i="11" s="1"/>
  <c r="AQ21" i="11"/>
  <c r="X23" i="11"/>
  <c r="AV23" i="11" s="1"/>
  <c r="AW25" i="11"/>
  <c r="X42" i="11"/>
  <c r="AV42" i="11" s="1"/>
  <c r="BB42" i="11" s="1"/>
  <c r="BC42" i="11" s="1"/>
  <c r="AU116" i="11"/>
  <c r="Z19" i="11"/>
  <c r="AX19" i="11" s="1"/>
  <c r="AV19" i="11"/>
  <c r="AQ19" i="11"/>
  <c r="Z27" i="11"/>
  <c r="AX27" i="11" s="1"/>
  <c r="BB27" i="11" s="1"/>
  <c r="BC27" i="11" s="1"/>
  <c r="Z33" i="11"/>
  <c r="AX33" i="11" s="1"/>
  <c r="X40" i="11"/>
  <c r="AV40" i="11" s="1"/>
  <c r="BB40" i="11" s="1"/>
  <c r="BC40" i="11" s="1"/>
  <c r="AR19" i="11"/>
  <c r="Z23" i="11"/>
  <c r="AX23" i="11" s="1"/>
  <c r="AP23" i="11"/>
  <c r="X33" i="11"/>
  <c r="AV33" i="11" s="1"/>
  <c r="AR33" i="11"/>
  <c r="X45" i="11"/>
  <c r="AV45" i="11" s="1"/>
  <c r="AT83" i="11"/>
  <c r="AT116" i="11" s="1"/>
  <c r="X98" i="11"/>
  <c r="AV98" i="11" s="1"/>
  <c r="BB98" i="11" s="1"/>
  <c r="BC98" i="11" s="1"/>
  <c r="X99" i="11"/>
  <c r="AV99" i="11" s="1"/>
  <c r="BB99" i="11" s="1"/>
  <c r="BC99" i="11" s="1"/>
  <c r="X113" i="11"/>
  <c r="AV113" i="11" s="1"/>
  <c r="BB113" i="11" s="1"/>
  <c r="BC113" i="11" s="1"/>
  <c r="AY116" i="11"/>
  <c r="AR96" i="11"/>
  <c r="BA116" i="11"/>
  <c r="X4" i="11"/>
  <c r="AV4" i="11" s="1"/>
  <c r="AQ7" i="11"/>
  <c r="Y28" i="11"/>
  <c r="AW28" i="11" s="1"/>
  <c r="BB28" i="11" s="1"/>
  <c r="BC28" i="11" s="1"/>
  <c r="X69" i="11"/>
  <c r="AV69" i="11" s="1"/>
  <c r="BB69" i="11" s="1"/>
  <c r="BC69" i="11" s="1"/>
  <c r="X70" i="11"/>
  <c r="AV70" i="11" s="1"/>
  <c r="BB70" i="11" s="1"/>
  <c r="BC70" i="11" s="1"/>
  <c r="BD98" i="11"/>
  <c r="AW107" i="11"/>
  <c r="AP108" i="11"/>
  <c r="X108" i="11"/>
  <c r="AV108" i="11" s="1"/>
  <c r="X111" i="11"/>
  <c r="AV111" i="11" s="1"/>
  <c r="BB111" i="11" s="1"/>
  <c r="BC111" i="11" s="1"/>
  <c r="AR12" i="11"/>
  <c r="Y4" i="11"/>
  <c r="AW4" i="11" s="1"/>
  <c r="X25" i="11"/>
  <c r="AV25" i="11" s="1"/>
  <c r="BB50" i="11"/>
  <c r="BC50" i="11" s="1"/>
  <c r="BB52" i="11"/>
  <c r="BC52" i="11" s="1"/>
  <c r="BD54" i="11"/>
  <c r="BB55" i="11"/>
  <c r="BC55" i="11" s="1"/>
  <c r="X64" i="11"/>
  <c r="AV64" i="11" s="1"/>
  <c r="BB64" i="11" s="1"/>
  <c r="BC64" i="11" s="1"/>
  <c r="X65" i="11"/>
  <c r="AV65" i="11" s="1"/>
  <c r="BB65" i="11" s="1"/>
  <c r="BC65" i="11" s="1"/>
  <c r="Y96" i="11"/>
  <c r="AW96" i="11" s="1"/>
  <c r="BB96" i="11" s="1"/>
  <c r="BC96" i="11" s="1"/>
  <c r="Y104" i="11"/>
  <c r="AW104" i="11" s="1"/>
  <c r="BB104" i="11" s="1"/>
  <c r="BC104" i="11" s="1"/>
  <c r="X92" i="11"/>
  <c r="AV92" i="11" s="1"/>
  <c r="BB92" i="11" s="1"/>
  <c r="BC92" i="11" s="1"/>
  <c r="X97" i="11"/>
  <c r="AV97" i="11" s="1"/>
  <c r="BB97" i="11" s="1"/>
  <c r="BC97" i="11" s="1"/>
  <c r="X106" i="11"/>
  <c r="AV106" i="11" s="1"/>
  <c r="BB106" i="11" s="1"/>
  <c r="BC106" i="11" s="1"/>
  <c r="G39" i="6"/>
  <c r="N16" i="5"/>
  <c r="M16" i="5"/>
  <c r="L16" i="5"/>
  <c r="K16" i="5"/>
  <c r="J16" i="5"/>
  <c r="I16" i="5"/>
  <c r="H16" i="5"/>
  <c r="G16" i="5"/>
  <c r="F16" i="5"/>
  <c r="E16" i="5"/>
  <c r="D16" i="5"/>
  <c r="C16" i="5"/>
  <c r="B16" i="5"/>
  <c r="N15" i="5"/>
  <c r="N14" i="5"/>
  <c r="N13" i="5"/>
  <c r="N12" i="5"/>
  <c r="N11" i="5"/>
  <c r="N10" i="5"/>
  <c r="N9" i="5"/>
  <c r="N8" i="5"/>
  <c r="N7" i="5"/>
  <c r="N6" i="5"/>
  <c r="N5" i="5"/>
  <c r="N4" i="5"/>
  <c r="N3" i="5"/>
  <c r="N2" i="5"/>
  <c r="BB25" i="11" l="1"/>
  <c r="BC25" i="11" s="1"/>
  <c r="BB35" i="11"/>
  <c r="BC35" i="11" s="1"/>
  <c r="BB108" i="11"/>
  <c r="BC108" i="11" s="1"/>
  <c r="BB45" i="11"/>
  <c r="BC45" i="11" s="1"/>
  <c r="AX116" i="11"/>
  <c r="AQ116" i="11"/>
  <c r="AP116" i="11"/>
  <c r="AR116" i="11"/>
  <c r="BB33" i="11"/>
  <c r="BC33" i="11" s="1"/>
  <c r="BB19" i="11"/>
  <c r="BC19" i="11" s="1"/>
  <c r="BB12" i="11"/>
  <c r="BC12" i="11" s="1"/>
  <c r="BB23" i="11"/>
  <c r="BC23" i="11" s="1"/>
  <c r="AW116" i="11"/>
  <c r="AV116" i="11"/>
  <c r="BB4" i="11"/>
  <c r="BD116" i="11"/>
  <c r="BB116" i="11" l="1"/>
  <c r="BC4" i="11"/>
  <c r="BC116" i="11" s="1"/>
  <c r="BI116" i="11" s="1"/>
</calcChain>
</file>

<file path=xl/sharedStrings.xml><?xml version="1.0" encoding="utf-8"?>
<sst xmlns="http://schemas.openxmlformats.org/spreadsheetml/2006/main" count="2160" uniqueCount="618">
  <si>
    <t>Newspaper</t>
  </si>
  <si>
    <t>Language</t>
  </si>
  <si>
    <t>Region</t>
  </si>
  <si>
    <t>Market</t>
  </si>
  <si>
    <t>Market Size / Population</t>
  </si>
  <si>
    <t>Format</t>
  </si>
  <si>
    <t>Columns</t>
  </si>
  <si>
    <t>Lines</t>
  </si>
  <si>
    <t>Total Lines</t>
  </si>
  <si>
    <t>Publication</t>
  </si>
  <si>
    <t>Freq.</t>
  </si>
  <si>
    <t>Owner</t>
  </si>
  <si>
    <t>Audit Basis</t>
  </si>
  <si>
    <t>Notes</t>
  </si>
  <si>
    <t>English</t>
  </si>
  <si>
    <t>Prairies</t>
  </si>
  <si>
    <t>AB</t>
  </si>
  <si>
    <t>Calgary</t>
  </si>
  <si>
    <t>1M+</t>
  </si>
  <si>
    <t>b/sheet</t>
  </si>
  <si>
    <t>Morning</t>
  </si>
  <si>
    <t>M-Su</t>
  </si>
  <si>
    <t>Postmedia Network Inc.</t>
  </si>
  <si>
    <t>AAM</t>
  </si>
  <si>
    <t>Sunday stopped publishing Aug 5, 2012</t>
  </si>
  <si>
    <t>The Calgary Sun</t>
  </si>
  <si>
    <t>tabloid</t>
  </si>
  <si>
    <t>Quebecor/Sun Media</t>
  </si>
  <si>
    <t>CCAB</t>
  </si>
  <si>
    <t>Edmonton</t>
  </si>
  <si>
    <t>Sunday stopped publishing June 30, 2012</t>
  </si>
  <si>
    <t>The Edmonton Sun</t>
  </si>
  <si>
    <t>Fort McMurray Today</t>
  </si>
  <si>
    <t>Fort McMurray</t>
  </si>
  <si>
    <t>50K-100K</t>
  </si>
  <si>
    <t>Evening</t>
  </si>
  <si>
    <t>M-F</t>
  </si>
  <si>
    <t>Daily Herald-Tribune, Grande Prairie</t>
  </si>
  <si>
    <t>Grande Prairie</t>
  </si>
  <si>
    <t>Lethbridge Herald</t>
  </si>
  <si>
    <t>Lethbridge</t>
  </si>
  <si>
    <t>100K-500K</t>
  </si>
  <si>
    <t>Glacier/AB Newspaper Group</t>
  </si>
  <si>
    <t>Medicine Hat News</t>
  </si>
  <si>
    <t>Medicine Hat</t>
  </si>
  <si>
    <t>M-Sa</t>
  </si>
  <si>
    <t>Red Deer Advocate</t>
  </si>
  <si>
    <t>Red Deer</t>
  </si>
  <si>
    <t>Black Press</t>
  </si>
  <si>
    <t>Cranbrook Daily Townsman</t>
  </si>
  <si>
    <t>BC &amp; Yukon</t>
  </si>
  <si>
    <t>BC</t>
  </si>
  <si>
    <t>Cranbrook</t>
  </si>
  <si>
    <t>&lt;50K</t>
  </si>
  <si>
    <t>Publishers Claim February 1, 2013</t>
  </si>
  <si>
    <t xml:space="preserve"> </t>
  </si>
  <si>
    <t>Dawson Creek</t>
  </si>
  <si>
    <t>Glacier Media</t>
  </si>
  <si>
    <t>Publishers Claim January 22, 2013</t>
  </si>
  <si>
    <t>Alaska Highway News, Fort St. John</t>
  </si>
  <si>
    <t>Fort St. John</t>
  </si>
  <si>
    <t>Publishers Claim January 4, 2013</t>
  </si>
  <si>
    <t>The Kamloops Daily News</t>
  </si>
  <si>
    <t>Kamloops</t>
  </si>
  <si>
    <t>CMCA</t>
  </si>
  <si>
    <t>6 months ending September 30, 2012</t>
  </si>
  <si>
    <t>Kelowna</t>
  </si>
  <si>
    <t>Continental Newspapers</t>
  </si>
  <si>
    <t>The Daily Bulletin, Kimberley</t>
  </si>
  <si>
    <t>Kimberley</t>
  </si>
  <si>
    <t>Nanaimo Daily News</t>
  </si>
  <si>
    <t>Nanaimo</t>
  </si>
  <si>
    <t>Penticton Herald</t>
  </si>
  <si>
    <t>Penticton</t>
  </si>
  <si>
    <t>Alberni Valley Times, Port Alberni</t>
  </si>
  <si>
    <t>Port Alberni</t>
  </si>
  <si>
    <t>Prince George</t>
  </si>
  <si>
    <t>The Trail Times</t>
  </si>
  <si>
    <t>Trail</t>
  </si>
  <si>
    <t>T-F</t>
  </si>
  <si>
    <t>Publishers Claim November 7, 2012</t>
  </si>
  <si>
    <t>The Vancouver Sun</t>
  </si>
  <si>
    <t>Vancouver</t>
  </si>
  <si>
    <t>Su-F</t>
  </si>
  <si>
    <t>Victoria</t>
  </si>
  <si>
    <t>T-Su</t>
  </si>
  <si>
    <t>Brandon Sun</t>
  </si>
  <si>
    <t>MB</t>
  </si>
  <si>
    <t>Brandon</t>
  </si>
  <si>
    <t>FP Canadian NP LP</t>
  </si>
  <si>
    <t>Winnipeg Free Press</t>
  </si>
  <si>
    <t>Winnipeg</t>
  </si>
  <si>
    <t>500K-1M</t>
  </si>
  <si>
    <t>Winnipeg Sun</t>
  </si>
  <si>
    <t>French</t>
  </si>
  <si>
    <t>Atlantic</t>
  </si>
  <si>
    <t>NB</t>
  </si>
  <si>
    <t>Caraquet</t>
  </si>
  <si>
    <t>Independent</t>
  </si>
  <si>
    <t>Publishers Claim December 31, 2011</t>
  </si>
  <si>
    <t>Fredericton</t>
  </si>
  <si>
    <t>Brunswick News Inc.</t>
  </si>
  <si>
    <t>Moncton</t>
  </si>
  <si>
    <t>Saint John</t>
  </si>
  <si>
    <t>The Western Star, Corner Brook</t>
  </si>
  <si>
    <t>NL</t>
  </si>
  <si>
    <t>Corner Brook</t>
  </si>
  <si>
    <t>TC Media</t>
  </si>
  <si>
    <t>St. John's</t>
  </si>
  <si>
    <t>NS</t>
  </si>
  <si>
    <t>CMCA June 30, 2012</t>
  </si>
  <si>
    <t>Halifax</t>
  </si>
  <si>
    <t>Halifax Herald Ltd.</t>
  </si>
  <si>
    <t>New Glasgow</t>
  </si>
  <si>
    <t>Sydney</t>
  </si>
  <si>
    <t>Truro</t>
  </si>
  <si>
    <t>CMCA April 30, 2012</t>
  </si>
  <si>
    <t>The Barrie Examiner</t>
  </si>
  <si>
    <t>Ontario</t>
  </si>
  <si>
    <t>ON</t>
  </si>
  <si>
    <t>Barrie</t>
  </si>
  <si>
    <t>Publishers Claim - www.qmisales.ca</t>
  </si>
  <si>
    <t>The Intelligencer, Belleville</t>
  </si>
  <si>
    <t>Belleville</t>
  </si>
  <si>
    <t>The Expositor, Brantford</t>
  </si>
  <si>
    <t>Brantford</t>
  </si>
  <si>
    <t>Brockville</t>
  </si>
  <si>
    <t>T-Sa</t>
  </si>
  <si>
    <t xml:space="preserve">The Chatham Daily News </t>
  </si>
  <si>
    <t>Chatham</t>
  </si>
  <si>
    <t>Cobourg/Port Hope</t>
  </si>
  <si>
    <t>Cornwall</t>
  </si>
  <si>
    <t>Fort Frances Daily Bulletin</t>
  </si>
  <si>
    <t>Fort Frances</t>
  </si>
  <si>
    <t>Guelph Mercury</t>
  </si>
  <si>
    <t>Guelph</t>
  </si>
  <si>
    <t>Torstar Corporation</t>
  </si>
  <si>
    <t>Hamilton</t>
  </si>
  <si>
    <t>Kenora</t>
  </si>
  <si>
    <t>The Kingston Whig-Standard</t>
  </si>
  <si>
    <t>Kingston</t>
  </si>
  <si>
    <t>The London Free Press</t>
  </si>
  <si>
    <t>London</t>
  </si>
  <si>
    <t>The Globe and Mail</t>
  </si>
  <si>
    <t>National</t>
  </si>
  <si>
    <t>National Post</t>
  </si>
  <si>
    <t>Niagara Falls Review</t>
  </si>
  <si>
    <t>Niagara Falls</t>
  </si>
  <si>
    <t>The North Bay Nugget</t>
  </si>
  <si>
    <t>North Bay</t>
  </si>
  <si>
    <t>The Packet &amp; Times, Orillia</t>
  </si>
  <si>
    <t>Orillia</t>
  </si>
  <si>
    <t>2010 CCAB audit report - www.qmisales.ca</t>
  </si>
  <si>
    <t>Ottawa/Gatineau</t>
  </si>
  <si>
    <t>Sunday stopped publishing July 22, 2012</t>
  </si>
  <si>
    <t>Power Corp. of Canada</t>
  </si>
  <si>
    <t>The Ottawa Sun</t>
  </si>
  <si>
    <t>The Sun Times, Owen Sound</t>
  </si>
  <si>
    <t>Owen Sound</t>
  </si>
  <si>
    <t>The Daily Observer, Pembroke</t>
  </si>
  <si>
    <t>Pembroke</t>
  </si>
  <si>
    <t>www.qmisales.ca</t>
  </si>
  <si>
    <t>The Peterborough Examiner</t>
  </si>
  <si>
    <t>Peterborough</t>
  </si>
  <si>
    <t>Sarnia</t>
  </si>
  <si>
    <t>Sault Ste. Marie</t>
  </si>
  <si>
    <t>The Simcoe Reformer</t>
  </si>
  <si>
    <t>Simcoe</t>
  </si>
  <si>
    <t>St. Catharines</t>
  </si>
  <si>
    <t>St. Thomas Times-Journal</t>
  </si>
  <si>
    <t>St. Thomas</t>
  </si>
  <si>
    <t>Stratford</t>
  </si>
  <si>
    <t>The Sudbury Star</t>
  </si>
  <si>
    <t>Sudbury</t>
  </si>
  <si>
    <t>Thunder Bay</t>
  </si>
  <si>
    <t>The Daily Press, Timmins</t>
  </si>
  <si>
    <t>Timmins</t>
  </si>
  <si>
    <t>Publishers Claim 2012</t>
  </si>
  <si>
    <t>The Toronto Sun</t>
  </si>
  <si>
    <t>Toronto</t>
  </si>
  <si>
    <t>Toronto Star</t>
  </si>
  <si>
    <t>All-Day</t>
  </si>
  <si>
    <t xml:space="preserve">Waterloo Region Record </t>
  </si>
  <si>
    <t>Waterloo</t>
  </si>
  <si>
    <t>The Tribune, Welland</t>
  </si>
  <si>
    <t>Welland</t>
  </si>
  <si>
    <t>The Windsor Star</t>
  </si>
  <si>
    <t>Windsor</t>
  </si>
  <si>
    <t>Woodstock</t>
  </si>
  <si>
    <t>PE</t>
  </si>
  <si>
    <t>Charlottetown</t>
  </si>
  <si>
    <t>Summerside</t>
  </si>
  <si>
    <t>Le Quotidien, Chicoutimi</t>
  </si>
  <si>
    <t>Québec</t>
  </si>
  <si>
    <t>QC</t>
  </si>
  <si>
    <t>Chicoutimi</t>
  </si>
  <si>
    <t>Granby</t>
  </si>
  <si>
    <t>Montreal</t>
  </si>
  <si>
    <t>Le Journal de Montréal</t>
  </si>
  <si>
    <t>Quebec City</t>
  </si>
  <si>
    <t>Le Journal de Québec</t>
  </si>
  <si>
    <t>The Record, Sherbrooke</t>
  </si>
  <si>
    <t>Sherbrooke</t>
  </si>
  <si>
    <t>Data available for Sept 30 Fas-Fax only</t>
  </si>
  <si>
    <t>La Tribune, Sherbrooke</t>
  </si>
  <si>
    <t>Trois-Rivieres</t>
  </si>
  <si>
    <t>SK</t>
  </si>
  <si>
    <t>Moose Jaw</t>
  </si>
  <si>
    <t>Publishers Claim February 2013</t>
  </si>
  <si>
    <t>Prince Albert Daily Herald</t>
  </si>
  <si>
    <t>Prince Albert</t>
  </si>
  <si>
    <t>CCAB December 2011</t>
  </si>
  <si>
    <t>Regina</t>
  </si>
  <si>
    <t>Saskatoon</t>
  </si>
  <si>
    <t>The Whitehorse Star</t>
  </si>
  <si>
    <t>YK</t>
  </si>
  <si>
    <t>Whitehorse</t>
  </si>
  <si>
    <t>Metro Calgary</t>
  </si>
  <si>
    <t>Metro Intl.SA &amp; TorStar</t>
  </si>
  <si>
    <t>http://www.metronews.ca/calgary</t>
  </si>
  <si>
    <t>Metro Edmonton</t>
  </si>
  <si>
    <t>http://www.metronews.ca/edmonton</t>
  </si>
  <si>
    <t>Publisher's claim September 2011</t>
  </si>
  <si>
    <t>Nanaimo News Bulletin Daily</t>
  </si>
  <si>
    <t>Publisher's claim November 2012</t>
  </si>
  <si>
    <t>The Morning Star Daily</t>
  </si>
  <si>
    <t>Vernon</t>
  </si>
  <si>
    <t>http://www.bclocalnews.com/daily/victoria/#</t>
  </si>
  <si>
    <t>Peace Arch News Daily</t>
  </si>
  <si>
    <t>White Rock</t>
  </si>
  <si>
    <t>Publisher's claim March 2012</t>
  </si>
  <si>
    <t>http://www.bclocalnews.com/daily/whiterock/</t>
  </si>
  <si>
    <t>Epoch Times (Vancouver)</t>
  </si>
  <si>
    <t>Chinese</t>
  </si>
  <si>
    <t>Publisher's Claim March 2013</t>
  </si>
  <si>
    <t>http://www.theepochtimes.com</t>
  </si>
  <si>
    <t>Metro Vancouver</t>
  </si>
  <si>
    <t>http://www.metronews.ca/vancouver</t>
  </si>
  <si>
    <t>24 Hours Vancouver</t>
  </si>
  <si>
    <t>http://24hrs.ca/</t>
  </si>
  <si>
    <t>Metro Winnipeg</t>
  </si>
  <si>
    <t>http://www.metronews.ca/winnipeg</t>
  </si>
  <si>
    <t>Metro Halifax</t>
  </si>
  <si>
    <t xml:space="preserve">TC Media &amp; Metro Intl. SA </t>
  </si>
  <si>
    <t>http://www.metronews.ca/halifax</t>
  </si>
  <si>
    <t>Epoch Times (Toronto)</t>
  </si>
  <si>
    <t>Metro London</t>
  </si>
  <si>
    <t>http://www.metronews.ca/london</t>
  </si>
  <si>
    <t>Metro Ottawa</t>
  </si>
  <si>
    <t>http://www.metronews.ca/ottawa</t>
  </si>
  <si>
    <t>Metro Toronto</t>
  </si>
  <si>
    <t>http://www.metronews.ca/toronto</t>
  </si>
  <si>
    <t>24 Hours Toronto</t>
  </si>
  <si>
    <t>Montreal 24 heures</t>
  </si>
  <si>
    <t>Journal Metro</t>
  </si>
  <si>
    <t>http://www.journalmetro.com/</t>
  </si>
  <si>
    <t xml:space="preserve">TOTAL DAILY NEWSPAPERS </t>
  </si>
  <si>
    <t>Report Notes:</t>
  </si>
  <si>
    <t>Daily newspapers defined as publications with minimum four days per week publishing schedule.</t>
  </si>
  <si>
    <t>Colour denotes that data requires explanation - see below:</t>
  </si>
  <si>
    <t>Circulation data is sourced from the following sources:</t>
  </si>
  <si>
    <t xml:space="preserve">This report is prepared annually by Newspapers Canada. </t>
  </si>
  <si>
    <t>3. Canadian Media Circulation Audit (CMCA)</t>
  </si>
  <si>
    <t>1.  Alliance for Audited Media (AAM)</t>
  </si>
  <si>
    <t xml:space="preserve">CCAB currently provides total circulation averages based on a 12-month period ending December 31st. </t>
  </si>
  <si>
    <t>Newspapers Canada</t>
  </si>
  <si>
    <t>For more information please contact:</t>
  </si>
  <si>
    <t>klevson@newspaperscanada.ca</t>
  </si>
  <si>
    <t xml:space="preserve">A daily newspaper for the purposes of this report is a paid or free publication containing general news, published four or more times per week. </t>
  </si>
  <si>
    <t>Newspapers Canada does not endorse the listed circulation sources.  This report simply lists all data available from the noted sources.</t>
  </si>
  <si>
    <t>The Evening News, New Glasgow</t>
  </si>
  <si>
    <t>Glacier Media (7)</t>
  </si>
  <si>
    <t>The Telegram, St. John’s</t>
  </si>
  <si>
    <t>*Nanaimo News Bulletin Daily</t>
  </si>
  <si>
    <t>Dawson Creek Daily News</t>
  </si>
  <si>
    <t>The Citizen, Prince George</t>
  </si>
  <si>
    <t>The Times-Herald, Moose Jaw</t>
  </si>
  <si>
    <t>*Peace Arch News Daily (White Rock)</t>
  </si>
  <si>
    <t>*Metro Halifax (with Metro Intl SA)</t>
  </si>
  <si>
    <t>*The Morning Star Daily (Vernon)</t>
  </si>
  <si>
    <t>*Journal Metro, Montreal</t>
  </si>
  <si>
    <t>Brunswick News Inc. (3)</t>
  </si>
  <si>
    <t>Torstar Corp. (13)</t>
  </si>
  <si>
    <t>The Hamilton Spectator</t>
  </si>
  <si>
    <t>The Record, Grand River Valley</t>
  </si>
  <si>
    <t>*Metro Calgary (with Metro Intl SA)</t>
  </si>
  <si>
    <t>*Metro Edmonton (with Metro Intl SA)</t>
  </si>
  <si>
    <t>Calgary Herald</t>
  </si>
  <si>
    <t>*Metro Vancouver (with Metro Intl SA)</t>
  </si>
  <si>
    <t>Continental Newspapers Canada Ltd. (3)</t>
  </si>
  <si>
    <t>*Metro Winnipeg (with Metro Intl SA)</t>
  </si>
  <si>
    <t>*Metro London (with Metro Intl SA)</t>
  </si>
  <si>
    <t>The Daily Courier, Kelowna</t>
  </si>
  <si>
    <t>*Metro Ottawa (with Metro Intl SA)</t>
  </si>
  <si>
    <t>The Chronicle Journal, Thunder Bay</t>
  </si>
  <si>
    <t>*Metro Toronto (with Metro Intl SA)</t>
  </si>
  <si>
    <t>Power Corp. of Canada (7)</t>
  </si>
  <si>
    <t>*Metro Regina (with Metro Intl SA)</t>
  </si>
  <si>
    <t>F.P. Canadian Newspapers LP (2)</t>
  </si>
  <si>
    <t>La Presse, Montreal</t>
  </si>
  <si>
    <t>*Metro Saskatoon (with Metro Intl SA)</t>
  </si>
  <si>
    <t>Le Nouvelliste, Trois-Rivieres</t>
  </si>
  <si>
    <t>Sing Tao Newspapers (1)</t>
  </si>
  <si>
    <t>La Voix de l’Est, Granby</t>
  </si>
  <si>
    <t>Sing Tao Daily (50% Torstar)</t>
  </si>
  <si>
    <t>Halifax Herald Ltd. (1)</t>
  </si>
  <si>
    <t>Le Soleil, Quebec</t>
  </si>
  <si>
    <t>Le Droit, Ottawa/Gatineau</t>
  </si>
  <si>
    <t>Notes:</t>
  </si>
  <si>
    <t>*L’Acadie Nouvelle, Caraquet</t>
  </si>
  <si>
    <t>*Le Devoir, Montreal</t>
  </si>
  <si>
    <t>*24 Hours Vancouver</t>
  </si>
  <si>
    <t>*Epoch Times,  Vancouver</t>
  </si>
  <si>
    <t>*24 Hours Toronto</t>
  </si>
  <si>
    <t>*Epoch Times, Toronto</t>
  </si>
  <si>
    <t>*Montreal 24 heures</t>
  </si>
  <si>
    <t>YT</t>
  </si>
  <si>
    <t>Continental Newspapers Canada Ltd.</t>
  </si>
  <si>
    <t>FP Newspapers Inc.</t>
  </si>
  <si>
    <t>* Fort Frances Daily Bulletin included beginning 2011 (4 days/week)</t>
  </si>
  <si>
    <t>Globemedia Inc.</t>
  </si>
  <si>
    <t>The Daily Gleaner</t>
  </si>
  <si>
    <t>The Province</t>
  </si>
  <si>
    <t>Times &amp; Transcript, Moncton #</t>
  </si>
  <si>
    <t>The Daily Gleaner, Fredericton #</t>
  </si>
  <si>
    <t>The Telegraph-Journal, Saint John #</t>
  </si>
  <si>
    <t>The Globe and Mail #</t>
  </si>
  <si>
    <t>The Gazette, Montreal #</t>
  </si>
  <si>
    <t>Ottawa Citizen #</t>
  </si>
  <si>
    <t>The Vancouver Sun #</t>
  </si>
  <si>
    <t>The Province, Vancouver #</t>
  </si>
  <si>
    <t>Paywall</t>
  </si>
  <si>
    <t>Oct 2012</t>
  </si>
  <si>
    <t>Sept 2012</t>
  </si>
  <si>
    <t>Dec 2012</t>
  </si>
  <si>
    <t>Aug 2012</t>
  </si>
  <si>
    <t>Nov 2011</t>
  </si>
  <si>
    <t>May 2013</t>
  </si>
  <si>
    <t>May 2011</t>
  </si>
  <si>
    <t>July 2013</t>
  </si>
  <si>
    <t>The Guardian</t>
  </si>
  <si>
    <t>The StarPhoenix</t>
  </si>
  <si>
    <t>National Post #</t>
  </si>
  <si>
    <t>The Windsor Star #</t>
  </si>
  <si>
    <t>The Leader-Post, Regina #</t>
  </si>
  <si>
    <t>The StarPhoenix, Saskatoon #</t>
  </si>
  <si>
    <t>Calgary Herald #</t>
  </si>
  <si>
    <t>Edmonton Journal #</t>
  </si>
  <si>
    <t>The Chronicle-Herald, Halifax #</t>
  </si>
  <si>
    <t>Toronto Star #</t>
  </si>
  <si>
    <t>Truro Daily News #</t>
  </si>
  <si>
    <t>Times Colonist, Victoria #</t>
  </si>
  <si>
    <t>The Guardian, Charlottetown #</t>
  </si>
  <si>
    <t>PS</t>
  </si>
  <si>
    <t>4.  Publisher claims/statements</t>
  </si>
  <si>
    <t>Every attempt is made to obtain audited circulation, however where that is not available, publisher claims/statements are reported.</t>
  </si>
  <si>
    <r>
      <t xml:space="preserve">Note, there are significant differences between AAM and CCAB in terms of </t>
    </r>
    <r>
      <rPr>
        <b/>
        <sz val="11"/>
        <color theme="1"/>
        <rFont val="Calibri"/>
        <family val="2"/>
        <scheme val="minor"/>
      </rPr>
      <t>unpaid circulation which may be an issue in competitive markets.</t>
    </r>
    <r>
      <rPr>
        <sz val="11"/>
        <color theme="1"/>
        <rFont val="Calibri"/>
        <family val="2"/>
        <scheme val="minor"/>
      </rPr>
      <t xml:space="preserve">  There are also differences in the reporting periods for each audit firm.  Please consult the audit firms' individual websites for further information.  </t>
    </r>
    <r>
      <rPr>
        <b/>
        <u/>
        <sz val="11"/>
        <color theme="1"/>
        <rFont val="Calibri"/>
        <family val="2"/>
        <scheme val="minor"/>
      </rPr>
      <t>Audit reports should be referenced for fair circulation comparisons in competitive markets.</t>
    </r>
  </si>
  <si>
    <t>2013 Daily Newspaper Circulation Report</t>
  </si>
  <si>
    <t>Data from CMCA is based on audit reports throughout 2013.</t>
  </si>
  <si>
    <t>ALTA Newspaper Group/Glacier (3)</t>
  </si>
  <si>
    <t>Quebecor/Sun Media (38)</t>
  </si>
  <si>
    <t>The Brockville Recorder &amp; Times</t>
  </si>
  <si>
    <t>Black Press (7)</t>
  </si>
  <si>
    <t>Beacon-Herald, Stratford</t>
  </si>
  <si>
    <t>The Sentinel Review, Woodstock</t>
  </si>
  <si>
    <t>Daily Miner &amp; News, Kenora</t>
  </si>
  <si>
    <t>The Chatham Daily News</t>
  </si>
  <si>
    <t>Northumberlandtoday.com</t>
  </si>
  <si>
    <t>Cornwall Standard-Freeholder</t>
  </si>
  <si>
    <t>St. Catharines Standard</t>
  </si>
  <si>
    <t>The Observer, Sarnia</t>
  </si>
  <si>
    <t>The Sault Star, Sault Ste Marie</t>
  </si>
  <si>
    <t>t.o.night changed to weekly (01/13)</t>
  </si>
  <si>
    <t xml:space="preserve">Daily Graphic changed to weekly (03/13) </t>
  </si>
  <si>
    <t>Amherst Daily News changed to weekly (7/13)</t>
  </si>
  <si>
    <t>Cowichan News Leader Pictorial Daily closed (03/13)</t>
  </si>
  <si>
    <t>24 Hours Ottawa, Calgary, Edmonton closed  (8/13)</t>
  </si>
  <si>
    <t>Campbell River/Comox Valley Daily closed 12/20/13</t>
  </si>
  <si>
    <t>Fraser Valley Daily closed 5/31/13</t>
  </si>
  <si>
    <t>The Journal Pioneer, Summerside PE #</t>
  </si>
  <si>
    <t>Le Journal de Montréal #</t>
  </si>
  <si>
    <t>Le Journal de Québec #</t>
  </si>
  <si>
    <t>Winnipeg Sun #</t>
  </si>
  <si>
    <t>The Toronto Sun #</t>
  </si>
  <si>
    <t>The Edmonton Sun #</t>
  </si>
  <si>
    <t>The Calgary Sun #</t>
  </si>
  <si>
    <t>The Ottawa Sun #</t>
  </si>
  <si>
    <t>Globe and Mail Inc. (1)</t>
  </si>
  <si>
    <t>Alta Newspaper Group</t>
  </si>
  <si>
    <t>Black Press Ltd.</t>
  </si>
  <si>
    <t>Gesca Ltée</t>
  </si>
  <si>
    <t>Glacier Media Inc.</t>
  </si>
  <si>
    <t>Globe and Mail Inc.</t>
  </si>
  <si>
    <t>Sing Tao Newspapers</t>
  </si>
  <si>
    <t>Sun Media Inc.</t>
  </si>
  <si>
    <t>Independent *</t>
  </si>
  <si>
    <t>Total</t>
  </si>
  <si>
    <t>Source: Newspapers Canada database, May 2014</t>
  </si>
  <si>
    <t>Note: Includes paid and free circulation daily newspapers</t>
  </si>
  <si>
    <t>Independent (6)</t>
  </si>
  <si>
    <t>Golden Ears Daily, Victoria News Daily closed 11/29/13</t>
  </si>
  <si>
    <t>Kelly Levson, Director of Research</t>
  </si>
  <si>
    <t>Digital Access and Paywall/Metered Access Implementation</t>
  </si>
  <si>
    <t>2013 Daily Newspaper Industry Highlights</t>
  </si>
  <si>
    <t xml:space="preserve">Augmented Reality </t>
  </si>
  <si>
    <t>General Industry Updates</t>
  </si>
  <si>
    <r>
      <t xml:space="preserve">On November 18, </t>
    </r>
    <r>
      <rPr>
        <b/>
        <sz val="11"/>
        <color theme="1"/>
        <rFont val="Calibri"/>
        <family val="2"/>
      </rPr>
      <t>the Calgary Herald</t>
    </r>
    <r>
      <rPr>
        <sz val="11"/>
        <color theme="1"/>
        <rFont val="Calibri"/>
        <family val="2"/>
      </rPr>
      <t xml:space="preserve"> launched a new compact format and redesign including colour on every page.  The paper has moved to a slimmer and shorter size and now includes colour on every page.  A number of editorial changes were also implemented including a prioritization of local news, enhanced Food coverage and the merging of the Entertainment and Real Life sections into one Arts &amp; Life section.</t>
    </r>
  </si>
  <si>
    <r>
      <t xml:space="preserve">On August 13, 2013 the </t>
    </r>
    <r>
      <rPr>
        <b/>
        <sz val="11"/>
        <color theme="1"/>
        <rFont val="Calibri"/>
        <family val="2"/>
        <scheme val="minor"/>
      </rPr>
      <t>Toronto Star</t>
    </r>
    <r>
      <rPr>
        <sz val="11"/>
        <color theme="1"/>
        <rFont val="Calibri"/>
        <family val="2"/>
        <scheme val="minor"/>
      </rPr>
      <t xml:space="preserve"> introduced their new subscription model for online content.  Visitors to the Star’s website are able to access 10 free articles every 30 days before being asked to purchase a Digital Access subscription package. Digital-only subscriptions are offered at 99 cents for the first month and then $9.99 each subsequent month.   Digital access includes full access to thestar.com website: all of the articles, columnists, investigative reports, features, profiles, news, sports, blogs, slide shows and multimedia features. Digital Access is accessible on any device –computer, tablet or smartphone.  Also included is the daily “Replica Edition”: a feature packed electronic version of the printed paper. Home Delivery subscribers can add Digital Access to their subscription for only $4.99 per month.</t>
    </r>
  </si>
  <si>
    <t>AAM Snapshot March 2013</t>
  </si>
  <si>
    <t>AAM Snapshot September 2013</t>
  </si>
  <si>
    <t>AAM Snapshot Average March-September 2013/CMCA/CCAB 12 months ending December 2013</t>
  </si>
  <si>
    <t>Paid Circulation less 3rd Party</t>
  </si>
  <si>
    <t>Non-Paid+3rd Party Circulation</t>
  </si>
  <si>
    <t>Total Circulation</t>
  </si>
  <si>
    <t>Digital Circulation*</t>
  </si>
  <si>
    <t>Paid Circulation</t>
  </si>
  <si>
    <t>Qualified Circulation</t>
  </si>
  <si>
    <t>Prov</t>
  </si>
  <si>
    <t>Population (2011 Census)</t>
  </si>
  <si>
    <t>Avg Wkday</t>
  </si>
  <si>
    <t>Sat</t>
  </si>
  <si>
    <t>Sun</t>
  </si>
  <si>
    <t>Year Established</t>
  </si>
  <si>
    <t>The Edmonton Journal</t>
  </si>
  <si>
    <t>Daily Herald-Tribune</t>
  </si>
  <si>
    <t>Daily News (Dawson Creek)</t>
  </si>
  <si>
    <t>Alaska Highway News</t>
  </si>
  <si>
    <t>The Courier (Kelowna)</t>
  </si>
  <si>
    <t>The Daily Bulletin (Kimberley)</t>
  </si>
  <si>
    <t>Alberni Valley Times</t>
  </si>
  <si>
    <t>Times Colonist</t>
  </si>
  <si>
    <t>L'Acadie Nouvelle</t>
  </si>
  <si>
    <t>Times-Transcript</t>
  </si>
  <si>
    <t>NB Telegraph Journal</t>
  </si>
  <si>
    <t>The Western Star</t>
  </si>
  <si>
    <t>The Telegram</t>
  </si>
  <si>
    <t>The Chronicle-Herald</t>
  </si>
  <si>
    <t>Aug 2013</t>
  </si>
  <si>
    <t>The News (New Glasgow)</t>
  </si>
  <si>
    <t>Cape Breton Post</t>
  </si>
  <si>
    <t>The Daily News (Truro)</t>
  </si>
  <si>
    <t>The Intelligencer</t>
  </si>
  <si>
    <t>The Expositor</t>
  </si>
  <si>
    <t>Brockville Recorder and Times</t>
  </si>
  <si>
    <t>Standard-Freeholder</t>
  </si>
  <si>
    <t>The Spectator</t>
  </si>
  <si>
    <t>Daily Miner and News</t>
  </si>
  <si>
    <t>The Packet &amp; Times</t>
  </si>
  <si>
    <t>Le Droit</t>
  </si>
  <si>
    <t>Ottawa Citizen</t>
  </si>
  <si>
    <t>The Daily Observer (Pembroke)</t>
  </si>
  <si>
    <t>The Observer (Sarnia)</t>
  </si>
  <si>
    <t>The Sault Star</t>
  </si>
  <si>
    <t>The Standard</t>
  </si>
  <si>
    <t>The Beacon Herald</t>
  </si>
  <si>
    <t>The Chronicle-Journal</t>
  </si>
  <si>
    <t>The Daily Press (Timmins)</t>
  </si>
  <si>
    <t>The Tribune (Welland)</t>
  </si>
  <si>
    <t>The Sentinel-Review</t>
  </si>
  <si>
    <t>The Journal-Pioneer</t>
  </si>
  <si>
    <t>Nov 2013</t>
  </si>
  <si>
    <t>Le Quotidien</t>
  </si>
  <si>
    <t>La Voix de l'Est</t>
  </si>
  <si>
    <t>La Presse</t>
  </si>
  <si>
    <t>Le Devoir</t>
  </si>
  <si>
    <t>The Gazette</t>
  </si>
  <si>
    <t>Le Soleil</t>
  </si>
  <si>
    <t>La Tribune</t>
  </si>
  <si>
    <t>The Record (Sherbrooke)</t>
  </si>
  <si>
    <t>Le Nouvelliste</t>
  </si>
  <si>
    <t>Metro Regina</t>
  </si>
  <si>
    <t>The Leader-Post</t>
  </si>
  <si>
    <t>Metro Saskatoon</t>
  </si>
  <si>
    <t xml:space="preserve">All AAM data calculated as an average from March 30, 2013 and September 30, 2013 Snapshot report.  </t>
  </si>
  <si>
    <t>CCAB and CMCA data is based on December 31, 2013 unless otherwise stated.</t>
  </si>
  <si>
    <t>PS denotes Publisher's Statement - no audit available.</t>
  </si>
  <si>
    <t>* 2013 Changes</t>
  </si>
  <si>
    <t>24 Hours Ottawa, Calgary, Edmonton  (July 2013)</t>
  </si>
  <si>
    <t xml:space="preserve"> Kamloops Daily News ceased publishing (1/2014), Dawson Creek Daily News merged with Alaska Highway News (2/2014)</t>
  </si>
  <si>
    <t>Considerable changes were approved by the AAM Board in July 2013 and are reflected in the September 2013 Snapshot report.  A new category was created ("qualified" circulation) in addition to "paid" circulation which includes non paid circulation and third party copies.</t>
  </si>
  <si>
    <r>
      <t xml:space="preserve">The </t>
    </r>
    <r>
      <rPr>
        <b/>
        <sz val="11"/>
        <color theme="1"/>
        <rFont val="Calibri"/>
        <family val="2"/>
        <scheme val="minor"/>
      </rPr>
      <t>Winnipeg Free Press</t>
    </r>
    <r>
      <rPr>
        <sz val="11"/>
        <color theme="1"/>
        <rFont val="Calibri"/>
        <family val="2"/>
        <scheme val="minor"/>
      </rPr>
      <t xml:space="preserve"> introduced augmented reality technology in September 2013.  The Free Press partnered with British technology company Blippar to enhance its printed newspaper with new augmented reality (AR) features. Readers can download the free Blippar app on their smartphone or tablet device and use the app to scan AR-enhanced print content to reveal hidden digital materials such as videos, photo slideshows and embedded answers in puzzles.  The first edition of the paper with this interactive technology was launched on September 4.</t>
    </r>
  </si>
  <si>
    <t>The 2013 report provides paid, qualified/verified and total circulation for the listed publications.  Reports prior to 2012 were based on paid circulation only.  The 2013 report now includes digital circulation (in both paid and non paid circulation) as well as listings for all free distribution daily newspapers.</t>
  </si>
  <si>
    <t>2. Canadian Circulation Audit Board (CCAB)</t>
  </si>
  <si>
    <t>Audit Services</t>
  </si>
  <si>
    <t>Alliance for Audited Media (AAM)</t>
  </si>
  <si>
    <t>http://www.auditedmedia.ca/</t>
  </si>
  <si>
    <t>The Alliance for Audited Media is the new Audit Bureau of Circulations. AAM is a tripartite membership organization of North America’s leading advertisers, advertising agencies and content providers committed to providing independently verified data and information critical to evaluating and purchasing media.</t>
  </si>
  <si>
    <t>Canadian Circulation Audit Board (CCAB)</t>
  </si>
  <si>
    <t>http://www.bpaww.com/</t>
  </si>
  <si>
    <t>The Canadian Circulation Audit Board (CCAB) is a tripartite membership organization founded in the fall of 1936 to offer choice to business publications in pursuit of a more efficient circulation audit.  CCAB is part of BPA Worldwide, a global industry resource for verified audience data and media knowledge.</t>
  </si>
  <si>
    <t>Canadian Media Circulation Audit (CMCA)</t>
  </si>
  <si>
    <t>http://www.circulationaudit.ca/</t>
  </si>
  <si>
    <t>Canadian Media Circulation Audit (CMCA) is the only circulation audit provider in Canada that is 100-percent Canadian-owned and operated.  CMCA reports provide advertisers, agencies and media buyers with credible, relevant data to make informed buying decisions.</t>
  </si>
  <si>
    <t>http://www.auditedmedia.ca/news/blog/2013/november/faqs-about-the-new-canadian-newspaper-report.aspx</t>
  </si>
  <si>
    <t>Non-Paid Circulation</t>
  </si>
  <si>
    <t>http://www.auditedmedia.ca/news/blog/2013/september/a-look-at-the-new-qualified-circulation-category-for-canadian-newspapers.aspx</t>
  </si>
  <si>
    <t>Digital Circulation</t>
  </si>
  <si>
    <t>Replica Digital Edition</t>
  </si>
  <si>
    <t>Replica digital editions maintain the same identity as the print edition. Replicas have the same name/logotype and consistent editorial and advertising content as print.</t>
  </si>
  <si>
    <t>Non-replica Digital Edition</t>
  </si>
  <si>
    <t>Non-replica digital editions are editorially homogeneous with the print edition, but advertising content may differ.  Non-replica editions include platforms such as tablet apps, mobile apps and restricted-access websites.</t>
  </si>
  <si>
    <t>Circulation Terminology</t>
  </si>
  <si>
    <r>
      <t>AAM</t>
    </r>
    <r>
      <rPr>
        <sz val="11"/>
        <color theme="1"/>
        <rFont val="Calibri"/>
        <family val="2"/>
        <scheme val="minor"/>
      </rPr>
      <t xml:space="preserve"> - Paid circulation includes print and digital individual subscriptions, single copy, group and hotel copies of newspapers which have been individually paid for by the purchasers, not for resale, at not less than one cent per copy or per subscription.</t>
    </r>
  </si>
  <si>
    <r>
      <t>CCAB</t>
    </r>
    <r>
      <rPr>
        <sz val="11"/>
        <color theme="1"/>
        <rFont val="Calibri"/>
        <family val="2"/>
        <scheme val="minor"/>
      </rPr>
      <t xml:space="preserve"> – Paid circulation includes copies paid for by individual recipient including home delivery, single copy, hotel and e-edition copies.</t>
    </r>
  </si>
  <si>
    <r>
      <t>CMCA</t>
    </r>
    <r>
      <rPr>
        <sz val="11"/>
        <color theme="1"/>
        <rFont val="Calibri"/>
        <family val="2"/>
        <scheme val="minor"/>
      </rPr>
      <t xml:space="preserve"> – Paid circulation is defined as any copies that have been paid for at any net positive price, after taking the value of any premiums or incentives into consideration.  Paid circulation includes carrier deliveries, dealer sales, bulk sales and counter sales.  Bulk sales include copies bought by a third party, such as an advertiser, sponsor/donor, or municipality as well as educational copies for delivery to students or schools and for the purposes of teaching students.</t>
    </r>
  </si>
  <si>
    <r>
      <t>Qualified Circulation</t>
    </r>
    <r>
      <rPr>
        <sz val="11"/>
        <color theme="1"/>
        <rFont val="Calibri"/>
        <family val="2"/>
        <scheme val="minor"/>
      </rPr>
      <t xml:space="preserve"> - </t>
    </r>
    <r>
      <rPr>
        <b/>
        <sz val="11"/>
        <color theme="1"/>
        <rFont val="Calibri"/>
        <family val="2"/>
        <scheme val="minor"/>
      </rPr>
      <t>AAM</t>
    </r>
    <r>
      <rPr>
        <sz val="11"/>
        <color theme="1"/>
        <rFont val="Calibri"/>
        <family val="2"/>
        <scheme val="minor"/>
      </rPr>
      <t xml:space="preserve"> – Qualified circulation is a new category in 2013 that includes all non-paid print and digital circulation and those copies purchased by sponsors or other third parties.   Qualified circulation can include education copies (used in the classroom), copies available for use or pick-up by consumers in public locations and copies served to employees, retired employees, independent agents and correspondents.</t>
    </r>
  </si>
  <si>
    <r>
      <t>Sponsored by Third Party or Free - CCAB</t>
    </r>
    <r>
      <rPr>
        <sz val="11"/>
        <color theme="1"/>
        <rFont val="Calibri"/>
        <family val="2"/>
        <scheme val="minor"/>
      </rPr>
      <t xml:space="preserve"> – This category of non-paid circulation was introduced in 2009 and includes home delivery, single copy, e-editions and educational copies in either print or digital formats.</t>
    </r>
  </si>
  <si>
    <r>
      <t>Controlled Circulation</t>
    </r>
    <r>
      <rPr>
        <sz val="11"/>
        <color theme="1"/>
        <rFont val="Calibri"/>
        <family val="2"/>
        <scheme val="minor"/>
      </rPr>
      <t xml:space="preserve"> – </t>
    </r>
    <r>
      <rPr>
        <b/>
        <sz val="11"/>
        <color theme="1"/>
        <rFont val="Calibri"/>
        <family val="2"/>
        <scheme val="minor"/>
      </rPr>
      <t>CMCA</t>
    </r>
    <r>
      <rPr>
        <sz val="11"/>
        <color theme="1"/>
        <rFont val="Calibri"/>
        <family val="2"/>
        <scheme val="minor"/>
      </rPr>
      <t xml:space="preserve"> – This includes all copies distributed free to designated areas and/or by an address list as well as newspapers picked up by individual readers at the newspaper office.</t>
    </r>
  </si>
  <si>
    <r>
      <t>AAM</t>
    </r>
    <r>
      <rPr>
        <sz val="11"/>
        <color theme="1"/>
        <rFont val="Calibri"/>
        <family val="2"/>
        <scheme val="minor"/>
      </rPr>
      <t xml:space="preserve"> - Digital editions are categorized as Paid if they are accessed by subscribers (individual subscriptions, single copy, group or hotel).  Digital editions sold in a bundle are counted as paid when the editions are priced separately or accessed by consumers.  Digital editions categorized as Qualified include non-paid access by individuals, for education or by employees.   </t>
    </r>
  </si>
  <si>
    <r>
      <t>CCAB</t>
    </r>
    <r>
      <rPr>
        <sz val="11"/>
        <color theme="1"/>
        <rFont val="Calibri"/>
        <family val="2"/>
        <scheme val="minor"/>
      </rPr>
      <t xml:space="preserve"> – E-editions include any newspaper delivered periodically in a digital format with metered navigation, that is edited, designed, and contains date-stamped content that includes advertising.  Digital E-editions may be reported as paid for by individual recipients or sponsored by third parties or free.  Educational E-editions are included in the sponsored by third party or free category.  </t>
    </r>
  </si>
  <si>
    <r>
      <t>CMCA</t>
    </r>
    <r>
      <rPr>
        <sz val="11"/>
        <color theme="1"/>
        <rFont val="Calibri"/>
        <family val="2"/>
        <scheme val="minor"/>
      </rPr>
      <t xml:space="preserve"> - An electronic edition may be included in a publisher’s circulation statement provided it is an exact digital replica of the print edition.  Electronic editions may be included in both Paid and Controlled Circulation categories.  A subscription to both the print and electronic editions shall be counted as one subscription.  </t>
    </r>
  </si>
  <si>
    <r>
      <rPr>
        <b/>
        <sz val="9"/>
        <color rgb="FF00518E"/>
        <rFont val="Calibri"/>
        <family val="2"/>
        <scheme val="minor"/>
      </rPr>
      <t>Non Paid Circulation</t>
    </r>
    <r>
      <rPr>
        <b/>
        <sz val="7"/>
        <color rgb="FF00518E"/>
        <rFont val="Calibri"/>
        <family val="2"/>
        <scheme val="minor"/>
      </rPr>
      <t xml:space="preserve"> 
</t>
    </r>
    <r>
      <rPr>
        <sz val="9"/>
        <color rgb="FF00518E"/>
        <rFont val="Calibri"/>
        <family val="2"/>
        <scheme val="minor"/>
      </rPr>
      <t>(Qualified/Sponsored/Free/Controlled)</t>
    </r>
  </si>
  <si>
    <r>
      <t>Total Circulation</t>
    </r>
    <r>
      <rPr>
        <sz val="9"/>
        <color rgb="FF00518E"/>
        <rFont val="Calibri"/>
        <family val="2"/>
        <scheme val="minor"/>
      </rPr>
      <t xml:space="preserve"> 
(Print/Digital)</t>
    </r>
  </si>
  <si>
    <r>
      <t xml:space="preserve">Digital Circulation*
</t>
    </r>
    <r>
      <rPr>
        <sz val="8"/>
        <color rgb="FF00518E"/>
        <rFont val="Calibri"/>
        <family val="2"/>
        <scheme val="minor"/>
      </rPr>
      <t>(already included in Total Circ)</t>
    </r>
  </si>
  <si>
    <r>
      <t>Weekly Total</t>
    </r>
    <r>
      <rPr>
        <sz val="10"/>
        <color indexed="8"/>
        <rFont val="Calibri"/>
        <family val="2"/>
        <scheme val="minor"/>
      </rPr>
      <t xml:space="preserve"> (Print/Digital)</t>
    </r>
  </si>
  <si>
    <r>
      <t xml:space="preserve">Daily Avg. </t>
    </r>
    <r>
      <rPr>
        <sz val="10"/>
        <color indexed="8"/>
        <rFont val="Calibri"/>
        <family val="2"/>
        <scheme val="minor"/>
      </rPr>
      <t>(Print/Digital)</t>
    </r>
  </si>
  <si>
    <t>Total Weekly Digital ONLY*</t>
  </si>
  <si>
    <t>The Times-Herald</t>
  </si>
  <si>
    <r>
      <t xml:space="preserve">*Digital circulation is combined Paid and Non-Paid - </t>
    </r>
    <r>
      <rPr>
        <b/>
        <u/>
        <sz val="12"/>
        <color theme="1"/>
        <rFont val="Calibri"/>
        <family val="2"/>
        <scheme val="minor"/>
      </rPr>
      <t>already included</t>
    </r>
    <r>
      <rPr>
        <sz val="12"/>
        <color theme="1"/>
        <rFont val="Calibri"/>
        <family val="2"/>
        <scheme val="minor"/>
      </rPr>
      <t xml:space="preserve"> in Total Circulation column.</t>
    </r>
  </si>
  <si>
    <t>AAM Qualified Circulation = non paid circulation + sponsored by 3rd party - change to reporting effective Sept 30, 2013 Snapshot report.</t>
  </si>
  <si>
    <t>Sing Tao (50% owned by Torstar) excluded from circulation analysis - no data available.</t>
  </si>
  <si>
    <r>
      <rPr>
        <b/>
        <sz val="12"/>
        <color theme="1"/>
        <rFont val="Calibri"/>
        <family val="2"/>
        <scheme val="minor"/>
      </rPr>
      <t xml:space="preserve">Changes to publishing frequency: </t>
    </r>
    <r>
      <rPr>
        <sz val="12"/>
        <color theme="1"/>
        <rFont val="Calibri"/>
        <family val="2"/>
        <scheme val="minor"/>
      </rPr>
      <t xml:space="preserve">  t.o.night moved to weekly (Jan 2013), Daily Graphic (Portage la Prairie) moved to weekly (March 2013),  Amherst Daily News (NS) moved to weekly (Aug 2013)</t>
    </r>
  </si>
  <si>
    <r>
      <rPr>
        <b/>
        <sz val="12"/>
        <color theme="1"/>
        <rFont val="Calibri"/>
        <family val="2"/>
        <scheme val="minor"/>
      </rPr>
      <t xml:space="preserve">Ceased publication:  </t>
    </r>
    <r>
      <rPr>
        <sz val="12"/>
        <color theme="1"/>
        <rFont val="Calibri"/>
        <family val="2"/>
        <scheme val="minor"/>
      </rPr>
      <t>Cowichan Valley News Leader Pictorial Daily (March 2013), Fraser Valley Daily (May 2013), Campbell River/Comox Daily (December 2013), Victoria Daily (November 2013), Golden Ears Daily (November 2013)</t>
    </r>
  </si>
  <si>
    <r>
      <rPr>
        <b/>
        <u/>
        <sz val="12"/>
        <color rgb="FF00B050"/>
        <rFont val="Calibri"/>
        <family val="2"/>
        <scheme val="minor"/>
      </rPr>
      <t>2014 Changes:</t>
    </r>
    <r>
      <rPr>
        <sz val="12"/>
        <color rgb="FF00B050"/>
        <rFont val="Calibri"/>
        <family val="2"/>
        <scheme val="minor"/>
      </rPr>
      <t xml:space="preserve"> </t>
    </r>
  </si>
  <si>
    <r>
      <rPr>
        <b/>
        <sz val="12"/>
        <color rgb="FFC00000"/>
        <rFont val="Calibri"/>
        <family val="2"/>
        <scheme val="minor"/>
      </rPr>
      <t>Data available for March 31 2013 Snapshot only:</t>
    </r>
    <r>
      <rPr>
        <sz val="12"/>
        <color rgb="FFC00000"/>
        <rFont val="Calibri"/>
        <family val="2"/>
        <scheme val="minor"/>
      </rPr>
      <t xml:space="preserve">  The Record (Sherbrooke), Daily Gleaner (Fredericton), NB Telegraph Journal, Times Transcript (Moncton)</t>
    </r>
  </si>
  <si>
    <r>
      <t xml:space="preserve">2012 CCAB Audit Reports:  </t>
    </r>
    <r>
      <rPr>
        <sz val="12"/>
        <color rgb="FFC00000"/>
        <rFont val="Calibri"/>
        <family val="2"/>
        <scheme val="minor"/>
      </rPr>
      <t>24 Hours Toronto, 24 Hours Vancouver</t>
    </r>
  </si>
  <si>
    <r>
      <rPr>
        <b/>
        <sz val="12"/>
        <color rgb="FFC00000"/>
        <rFont val="Calibri"/>
        <family val="2"/>
        <scheme val="minor"/>
      </rPr>
      <t xml:space="preserve">2011 CCAB Audit Report: </t>
    </r>
    <r>
      <rPr>
        <sz val="12"/>
        <color rgb="FFC00000"/>
        <rFont val="Calibri"/>
        <family val="2"/>
        <scheme val="minor"/>
      </rPr>
      <t xml:space="preserve"> Prince Albert Daily Herald</t>
    </r>
  </si>
  <si>
    <r>
      <t xml:space="preserve">2010 CCAB Audit Reports:  </t>
    </r>
    <r>
      <rPr>
        <sz val="12"/>
        <color rgb="FFC00000"/>
        <rFont val="Calibri"/>
        <family val="2"/>
        <scheme val="minor"/>
      </rPr>
      <t>Barrie Examiner, Brockville Recorder &amp; Times, Orillia Packet &amp; Times, Owen Sound Sun Times, Pembroke Daily Observer, Simcoe Reformer, St. Thomas Times Journal, Montreal 24 heures</t>
    </r>
  </si>
  <si>
    <r>
      <t xml:space="preserve">Publisher's Statement only (PS):  </t>
    </r>
    <r>
      <rPr>
        <sz val="12"/>
        <color rgb="FFC00000"/>
        <rFont val="Calibri"/>
        <family val="2"/>
        <scheme val="minor"/>
      </rPr>
      <t xml:space="preserve"> Kenora Daily Miner &amp; News, L'Acadie Nouvelle, Woodstock Sentinel Review</t>
    </r>
  </si>
  <si>
    <r>
      <t xml:space="preserve">The </t>
    </r>
    <r>
      <rPr>
        <b/>
        <sz val="11"/>
        <color theme="1"/>
        <rFont val="Calibri"/>
        <family val="2"/>
        <scheme val="minor"/>
      </rPr>
      <t>Alliance of Audited Media (AAM)</t>
    </r>
    <r>
      <rPr>
        <sz val="11"/>
        <color theme="1"/>
        <rFont val="Calibri"/>
        <family val="2"/>
        <scheme val="minor"/>
      </rPr>
      <t xml:space="preserve"> introduced a number of rule and reporting changes for Canadian newspapers. The audit program revised its reporting and qualification requirements for newspapers in order to simplify reporting, reduce internal record keeping for publishers and lower costs.  The audit program also introduced an updated report format with a new "qualified" category for non-paid and third-party copies.  The changes came into effect with the reporting period that ran through September 2013.</t>
    </r>
  </si>
  <si>
    <t>Prov.</t>
  </si>
  <si>
    <t>Times Colonist, Victoria</t>
  </si>
  <si>
    <t>The Gazette, Montreal</t>
  </si>
  <si>
    <t>The Daily Gleaner, Fredericton</t>
  </si>
  <si>
    <t>Times-Transcript, Moncton</t>
  </si>
  <si>
    <t>New Brunswick Telegraph Journal</t>
  </si>
  <si>
    <t>The Province, Vancouver</t>
  </si>
  <si>
    <t>The Leader-Post, Regina</t>
  </si>
  <si>
    <t>The StarPhoenix, Saskatoon</t>
  </si>
  <si>
    <t>The Guardian, Charlottetown</t>
  </si>
  <si>
    <t>The Daily News, Truro</t>
  </si>
  <si>
    <t>The Chronicle-Herald, Halifax</t>
  </si>
  <si>
    <t>The Journal-Pioneer, Summerside</t>
  </si>
  <si>
    <t>Cape Breton Post, Sydney</t>
  </si>
  <si>
    <t>The Telegram, St. John's</t>
  </si>
  <si>
    <r>
      <rPr>
        <b/>
        <sz val="12"/>
        <color rgb="FF324481"/>
        <rFont val="Calibri"/>
        <family val="2"/>
        <scheme val="minor"/>
      </rPr>
      <t>TC Media (11)</t>
    </r>
    <r>
      <rPr>
        <sz val="8"/>
        <color rgb="FF324481"/>
        <rFont val="Calibri"/>
        <family val="2"/>
        <scheme val="minor"/>
      </rPr>
      <t xml:space="preserve"> </t>
    </r>
  </si>
  <si>
    <r>
      <t>Postmedia Network Inc. (10)</t>
    </r>
    <r>
      <rPr>
        <sz val="12"/>
        <color rgb="FF324481"/>
        <rFont val="Calibri"/>
        <family val="2"/>
        <scheme val="minor"/>
      </rPr>
      <t xml:space="preserve"> </t>
    </r>
  </si>
  <si>
    <t>June 2011</t>
  </si>
  <si>
    <t>Cranbrook Daily Townsman^^</t>
  </si>
  <si>
    <t>Nanaimo Daily News ^^</t>
  </si>
  <si>
    <t>Prince George Citizen^^</t>
  </si>
  <si>
    <t>The Barrie Examiner^^</t>
  </si>
  <si>
    <t>NorthumberlandToday^^</t>
  </si>
  <si>
    <t>The Sun Times^^</t>
  </si>
  <si>
    <t>The Simcoe Reformer^^</t>
  </si>
  <si>
    <t xml:space="preserve">The following free distribution daily newspapers ceased publishing March 28, 2014:  Nanaimo News Bulletin Daily, the Vernon Morningstar Daily and the Peace Arch News Daily </t>
  </si>
  <si>
    <t>^^ Non paid weekday distribution shown in Sunday column:</t>
  </si>
  <si>
    <t>Northumberland Today - Thursday controlled circulation</t>
  </si>
  <si>
    <t>Cranbrook Daily Townsman - Thursday controlled circulation</t>
  </si>
  <si>
    <t>Barrie Examiner - Thursday controlled circulation</t>
  </si>
  <si>
    <t>Owen Sound Sun Times - Thursday controlled circulation</t>
  </si>
  <si>
    <t>Simcoe Reformer - Tuesday controlled circulation</t>
  </si>
  <si>
    <t>Prince George Citizen - Thursday controlled circulation</t>
  </si>
  <si>
    <t>Nanaimo Daily News - Thursday controlled circulation</t>
  </si>
  <si>
    <t>Lethbridge Herald #</t>
  </si>
  <si>
    <t>Medicine Hat News #</t>
  </si>
  <si>
    <t>Red Deer Advocate #</t>
  </si>
  <si>
    <t>Cranbrook Daily Townsman #</t>
  </si>
  <si>
    <t>The Daily Bulletin, Kimberley #</t>
  </si>
  <si>
    <t>The Whitehorse Star #</t>
  </si>
  <si>
    <t>Total Newspapers with Paywalls in 2013</t>
  </si>
  <si>
    <t>The Gazette(London) re-classified as campus pub.</t>
  </si>
  <si>
    <t>black - paid daily newspapers (94)</t>
  </si>
  <si>
    <t>blue - free daily newspapers (19)</t>
  </si>
  <si>
    <r>
      <t>The Chronicle Herald</t>
    </r>
    <r>
      <rPr>
        <sz val="11"/>
        <color theme="1"/>
        <rFont val="Calibri"/>
        <family val="2"/>
        <scheme val="minor"/>
      </rPr>
      <t xml:space="preserve"> in Halifax announced plans for an online subscription model in August 2013.  Digital subscriptions provide unlimited access to all of The Chronicle Herald’s premium news content on desktop, e-paper, iPhone/iPad app and other mobile device browsers. This new model allows The Chronicle Herald to deliver more coverage across multiple devices.   Print subscribers continue to have 24-7 access to all digital products including TheChronicleHerald.ca, e-paper, Business Insider and mobile apps while non-subscribers are offered digital only subscription plans based on their location.</t>
    </r>
  </si>
  <si>
    <t>Paid/Free</t>
  </si>
  <si>
    <t>Paid</t>
  </si>
  <si>
    <t>Free</t>
  </si>
  <si>
    <t>June 2013</t>
  </si>
  <si>
    <t>April 2013</t>
  </si>
  <si>
    <t>Feb 2012</t>
  </si>
  <si>
    <t>2004</t>
  </si>
  <si>
    <t>Amherst Daily News</t>
  </si>
  <si>
    <t>Amherst</t>
  </si>
  <si>
    <t>The Daily Graphic, Portage la Prairie*</t>
  </si>
  <si>
    <t>Portage la Prairie</t>
  </si>
  <si>
    <t>Publishers Claim - www.qmisales.ca - MARCH 2013 changed to weekly</t>
  </si>
  <si>
    <t>Cowichan Valley News Leader Pictorial Daily</t>
  </si>
  <si>
    <t>Duncan</t>
  </si>
  <si>
    <t>Publisher's claim December 2012; stopped publishing March 2013</t>
  </si>
  <si>
    <t>24 Hours Calgary</t>
  </si>
  <si>
    <t>http://www.qmisales.ca/newspaper-sun-media/circulation/circulation-list.html</t>
  </si>
  <si>
    <t>24 Hours Edmonton</t>
  </si>
  <si>
    <t>24 Hours Ottawa</t>
  </si>
  <si>
    <t>t.o.night (Toronto)</t>
  </si>
  <si>
    <t>Publisher's claim September 2011 - moved to bi-weekly JAN2013</t>
  </si>
  <si>
    <t>http://tonightnewspaper.com</t>
  </si>
  <si>
    <t>Campbell River/Comox Valley Daily</t>
  </si>
  <si>
    <t>Campbell River</t>
  </si>
  <si>
    <t>Publisher's claim July 2012</t>
  </si>
  <si>
    <t>http://www.bclocalnews.com/daily/campbellriver/</t>
  </si>
  <si>
    <t>Fraser Valley Daily</t>
  </si>
  <si>
    <t>Chilliwack/Abbotsford</t>
  </si>
  <si>
    <t>Publisher's claim June 2012</t>
  </si>
  <si>
    <t>http://www.bclocalnews.com/daily/chilliwack/</t>
  </si>
  <si>
    <t>Golden Ears Daily</t>
  </si>
  <si>
    <t>Langley/Maple Ridge</t>
  </si>
  <si>
    <t>Victoria News Daily</t>
  </si>
  <si>
    <t>http://www.bclocalnews.com/daily/victoria</t>
  </si>
  <si>
    <t>For those dailies measured by AAM, the total circulation averages of two six-month Snapshot reports were utilized for the periods ending March 31st and September 30th to reflect a comparable 12-month period.</t>
  </si>
  <si>
    <t xml:space="preserve">The number of newspapers with paywalls or metered access grew dramatically in 2013.  In 2012 there were 20 papers with paywalls/metered access and by the end of 2013 that number increased to 33.  </t>
  </si>
  <si>
    <r>
      <t>The Guardian</t>
    </r>
    <r>
      <rPr>
        <sz val="11"/>
        <color theme="1"/>
        <rFont val="Calibri"/>
        <family val="2"/>
      </rPr>
      <t xml:space="preserve"> in PEI also launched a new digital subscription plan in May 2013.  The new metered pay model allows visitors to view up to eight articles, videos or photos on the site per month before being asked to become digital subscribers.  Print subscribers receive unlimited access to all site content while the All Access Pass digital-only subscriptions are offered at 99 cents per month for the first month and are renewed at a rate of $8.50 per month.</t>
    </r>
  </si>
  <si>
    <r>
      <t>La Presse</t>
    </r>
    <r>
      <rPr>
        <sz val="11"/>
        <color theme="1"/>
        <rFont val="Calibri"/>
        <family val="2"/>
        <scheme val="minor"/>
      </rPr>
      <t xml:space="preserve"> launched their daily digital edition on April 18, 2013 branded LaPresse+.  This digital tablet edition is available free of charge, in contrast to the paywall/metered access model.</t>
    </r>
  </si>
  <si>
    <r>
      <rPr>
        <b/>
        <sz val="11"/>
        <color theme="1"/>
        <rFont val="Calibri"/>
        <family val="2"/>
        <scheme val="minor"/>
      </rPr>
      <t>Glacier Media</t>
    </r>
    <r>
      <rPr>
        <sz val="11"/>
        <color theme="1"/>
        <rFont val="Calibri"/>
        <family val="2"/>
        <scheme val="minor"/>
      </rPr>
      <t xml:space="preserve"> announced an enterprise-wide augmented reality initiative with Layar in the first quarter of 2013.  Glacier Media teamed up with Layar to introduce augmented reality (AR) technology throughout all of its properties in Lower Mainland, British Columbia. Glacier publications now feature extensive use of AR in both editorial and advertising content. The Layar app, which can be downloaded on iOS or Android devices, operates as image recognition software by invisibly tagging images, logos and icons with codes to allow the augmented reality components to appear instantly on a reader’s smartphone or tablet when scanning the AR content.</t>
    </r>
  </si>
  <si>
    <r>
      <t xml:space="preserve">The </t>
    </r>
    <r>
      <rPr>
        <b/>
        <sz val="11"/>
        <color theme="1"/>
        <rFont val="Calibri"/>
        <family val="2"/>
        <scheme val="minor"/>
      </rPr>
      <t>Toronto Star</t>
    </r>
    <r>
      <rPr>
        <sz val="11"/>
        <color theme="1"/>
        <rFont val="Calibri"/>
        <family val="2"/>
        <scheme val="minor"/>
      </rPr>
      <t xml:space="preserve"> partnered with Nissan Canada to produce a special edition print newspaper on September 19, 2013 that was enhanced with Augmented Reality. Readers download the free Layar app on any smartphone or tablet device and scanned pages of the paper to unlock interactive features within the editorial and advertising content.  The Star’s digitally-enhanced print product gave readers the opportunity to watch videos, listen to audio stories and view animated cartoons on their mobile device, allowing them to experience the newspaper in an entirely new way.</t>
    </r>
  </si>
  <si>
    <r>
      <t xml:space="preserve">In April 2013, The </t>
    </r>
    <r>
      <rPr>
        <b/>
        <sz val="11"/>
        <color theme="1"/>
        <rFont val="Calibri"/>
        <family val="2"/>
        <scheme val="minor"/>
      </rPr>
      <t>Chronicle Herald</t>
    </r>
    <r>
      <rPr>
        <sz val="11"/>
        <color theme="1"/>
        <rFont val="Calibri"/>
        <family val="2"/>
        <scheme val="minor"/>
      </rPr>
      <t xml:space="preserve"> launched an expanded weekend edition, and discontinued the Sunday edition.  The larger weekend paper is delivered on Saturdays and the publication continues to update content on its website and mobile apps seven days a week.</t>
    </r>
  </si>
  <si>
    <r>
      <t xml:space="preserve">The </t>
    </r>
    <r>
      <rPr>
        <b/>
        <sz val="11"/>
        <color theme="1"/>
        <rFont val="Calibri"/>
        <family val="2"/>
        <scheme val="minor"/>
      </rPr>
      <t>Amherst Daily News</t>
    </r>
    <r>
      <rPr>
        <sz val="11"/>
        <color theme="1"/>
        <rFont val="Calibri"/>
        <family val="2"/>
        <scheme val="minor"/>
      </rPr>
      <t xml:space="preserve"> (NS) moved to a weekly publishing schedule. The 120-year-old daily paper re-launched on August 2 as the Amherst News. The paper also revamped its online presence, providing increased local news and events coverage through its website www.cumberlandnewsnow.com.</t>
    </r>
  </si>
  <si>
    <r>
      <rPr>
        <b/>
        <sz val="11"/>
        <color theme="1"/>
        <rFont val="Calibri"/>
        <family val="2"/>
      </rPr>
      <t>Postmedia</t>
    </r>
    <r>
      <rPr>
        <sz val="11"/>
        <color theme="1"/>
        <rFont val="Calibri"/>
        <family val="2"/>
      </rPr>
      <t xml:space="preserve"> extended its paid digital subscription model to all its newspapers across Canada on May 14, 2013.  Postmedia first began charging for online news content in 2011.  Postmedia’s print subscribers receive digital access to the print newspaper’s website, tablet app and smartphone app, as part of their All Access subscription. Non-print subscribers can choose from a number of subscription options including the All Access bundle, the Digital Access bundle or the ePaper.  Casual users continue to enjoy free access to its digital content. Canadian users are able to access 10 free articles and International users are able to access five free articles every 30 days.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</si>
</sst>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_-* #,##0_-;\-* #,##0_-;_-* &quot;-&quot;??_-;_-@_-"/>
  </numFmts>
  <fonts count="91">
    <font>
      <sz val="11"/>
      <color theme="1"/>
      <name val="Calibri"/>
      <family val="2"/>
      <scheme val="minor"/>
    </font>
    <font>
      <sz val="11"/>
      <color theme="1"/>
      <name val="Calibri"/>
      <family val="2"/>
      <scheme val="minor"/>
    </font>
    <font>
      <b/>
      <sz val="11"/>
      <color theme="1"/>
      <name val="Calibri"/>
      <family val="2"/>
      <scheme val="minor"/>
    </font>
    <font>
      <i/>
      <sz val="9"/>
      <color rgb="FF00518E"/>
      <name val="Calibri"/>
      <family val="2"/>
      <scheme val="minor"/>
    </font>
    <font>
      <b/>
      <sz val="11"/>
      <name val="Calibri"/>
      <family val="2"/>
      <scheme val="minor"/>
    </font>
    <font>
      <sz val="11"/>
      <color rgb="FF0070C0"/>
      <name val="Calibri"/>
      <family val="2"/>
      <scheme val="minor"/>
    </font>
    <font>
      <b/>
      <sz val="11"/>
      <color rgb="FF0070C0"/>
      <name val="Calibri"/>
      <family val="2"/>
      <scheme val="minor"/>
    </font>
    <font>
      <i/>
      <sz val="11"/>
      <color theme="1"/>
      <name val="Calibri"/>
      <family val="2"/>
      <scheme val="minor"/>
    </font>
    <font>
      <sz val="11"/>
      <color rgb="FF00B050"/>
      <name val="Calibri"/>
      <family val="2"/>
      <scheme val="minor"/>
    </font>
    <font>
      <i/>
      <sz val="11"/>
      <color rgb="FF0070C0"/>
      <name val="Calibri"/>
      <family val="2"/>
      <scheme val="minor"/>
    </font>
    <font>
      <sz val="11"/>
      <color rgb="FFC00000"/>
      <name val="Calibri"/>
      <family val="2"/>
      <scheme val="minor"/>
    </font>
    <font>
      <b/>
      <sz val="11"/>
      <color rgb="FFC00000"/>
      <name val="Calibri"/>
      <family val="2"/>
      <scheme val="minor"/>
    </font>
    <font>
      <u/>
      <sz val="10.45"/>
      <color indexed="12"/>
      <name val="GarmdITC Bk BT"/>
    </font>
    <font>
      <u/>
      <sz val="11"/>
      <color rgb="FFC00000"/>
      <name val="Calibri"/>
      <family val="2"/>
      <scheme val="minor"/>
    </font>
    <font>
      <u/>
      <sz val="11"/>
      <color rgb="FF0070C0"/>
      <name val="Calibri"/>
      <family val="2"/>
      <scheme val="minor"/>
    </font>
    <font>
      <i/>
      <sz val="11"/>
      <color rgb="FFC00000"/>
      <name val="Calibri"/>
      <family val="2"/>
      <scheme val="minor"/>
    </font>
    <font>
      <b/>
      <i/>
      <sz val="11"/>
      <color rgb="FF0070C0"/>
      <name val="Calibri"/>
      <family val="2"/>
      <scheme val="minor"/>
    </font>
    <font>
      <u/>
      <sz val="11"/>
      <color indexed="12"/>
      <name val="Calibri"/>
      <family val="2"/>
      <scheme val="minor"/>
    </font>
    <font>
      <sz val="9"/>
      <color rgb="FF0070C0"/>
      <name val="Calibri"/>
      <family val="2"/>
      <scheme val="minor"/>
    </font>
    <font>
      <i/>
      <sz val="9"/>
      <color rgb="FF0070C0"/>
      <name val="Calibri"/>
      <family val="2"/>
      <scheme val="minor"/>
    </font>
    <font>
      <b/>
      <sz val="9"/>
      <color rgb="FF0070C0"/>
      <name val="Calibri"/>
      <family val="2"/>
      <scheme val="minor"/>
    </font>
    <font>
      <b/>
      <i/>
      <sz val="9"/>
      <color rgb="FF0070C0"/>
      <name val="Calibri"/>
      <family val="2"/>
      <scheme val="minor"/>
    </font>
    <font>
      <sz val="9"/>
      <color indexed="12"/>
      <name val="Calibri"/>
      <family val="2"/>
      <scheme val="minor"/>
    </font>
    <font>
      <i/>
      <sz val="9"/>
      <color indexed="12"/>
      <name val="Calibri"/>
      <family val="2"/>
      <scheme val="minor"/>
    </font>
    <font>
      <i/>
      <u/>
      <sz val="9"/>
      <color indexed="12"/>
      <name val="Calibri"/>
      <family val="2"/>
      <scheme val="minor"/>
    </font>
    <font>
      <b/>
      <sz val="9"/>
      <color indexed="12"/>
      <name val="Calibri"/>
      <family val="2"/>
      <scheme val="minor"/>
    </font>
    <font>
      <b/>
      <i/>
      <sz val="9"/>
      <color indexed="12"/>
      <name val="Calibri"/>
      <family val="2"/>
      <scheme val="minor"/>
    </font>
    <font>
      <i/>
      <sz val="9"/>
      <color theme="1"/>
      <name val="Calibri"/>
      <family val="2"/>
      <scheme val="minor"/>
    </font>
    <font>
      <sz val="9"/>
      <color rgb="FFC00000"/>
      <name val="Calibri"/>
      <family val="2"/>
      <scheme val="minor"/>
    </font>
    <font>
      <b/>
      <sz val="9"/>
      <color rgb="FFC00000"/>
      <name val="Calibri"/>
      <family val="2"/>
      <scheme val="minor"/>
    </font>
    <font>
      <i/>
      <sz val="9"/>
      <color rgb="FFC00000"/>
      <name val="Calibri"/>
      <family val="2"/>
      <scheme val="minor"/>
    </font>
    <font>
      <u/>
      <sz val="9"/>
      <color rgb="FFC00000"/>
      <name val="Calibri"/>
      <family val="2"/>
      <scheme val="minor"/>
    </font>
    <font>
      <sz val="11"/>
      <color indexed="12"/>
      <name val="Calibri"/>
      <family val="2"/>
      <scheme val="minor"/>
    </font>
    <font>
      <i/>
      <sz val="11"/>
      <color indexed="12"/>
      <name val="Calibri"/>
      <family val="2"/>
      <scheme val="minor"/>
    </font>
    <font>
      <b/>
      <sz val="11"/>
      <color indexed="12"/>
      <name val="Calibri"/>
      <family val="2"/>
      <scheme val="minor"/>
    </font>
    <font>
      <sz val="11"/>
      <name val="Calibri"/>
      <family val="2"/>
      <scheme val="minor"/>
    </font>
    <font>
      <i/>
      <sz val="11"/>
      <name val="Calibri"/>
      <family val="2"/>
      <scheme val="minor"/>
    </font>
    <font>
      <sz val="11"/>
      <color indexed="8"/>
      <name val="Calibri"/>
      <family val="2"/>
    </font>
    <font>
      <sz val="12"/>
      <name val="GarmdITC Bk BT"/>
    </font>
    <font>
      <sz val="10"/>
      <name val="Arial"/>
      <family val="2"/>
    </font>
    <font>
      <sz val="12"/>
      <name val="SWISS"/>
    </font>
    <font>
      <sz val="12"/>
      <name val="Arial"/>
      <family val="2"/>
    </font>
    <font>
      <b/>
      <sz val="10"/>
      <color theme="1"/>
      <name val="Calibri"/>
      <family val="2"/>
      <scheme val="minor"/>
    </font>
    <font>
      <sz val="11"/>
      <color theme="3"/>
      <name val="Calibri"/>
      <family val="2"/>
      <scheme val="minor"/>
    </font>
    <font>
      <sz val="10"/>
      <color theme="1"/>
      <name val="Myriad Pro"/>
      <family val="2"/>
    </font>
    <font>
      <b/>
      <sz val="10"/>
      <color theme="1"/>
      <name val="Myriad Pro"/>
      <family val="2"/>
    </font>
    <font>
      <sz val="10"/>
      <color theme="1"/>
      <name val="Calibri"/>
      <family val="2"/>
      <scheme val="minor"/>
    </font>
    <font>
      <b/>
      <u/>
      <sz val="11"/>
      <color theme="1"/>
      <name val="Calibri"/>
      <family val="2"/>
      <scheme val="minor"/>
    </font>
    <font>
      <sz val="11"/>
      <color theme="1"/>
      <name val="Calibri"/>
      <family val="2"/>
    </font>
    <font>
      <b/>
      <sz val="11"/>
      <color theme="1"/>
      <name val="Calibri"/>
      <family val="2"/>
    </font>
    <font>
      <sz val="9"/>
      <name val="Calibri"/>
      <family val="2"/>
      <scheme val="minor"/>
    </font>
    <font>
      <i/>
      <sz val="9"/>
      <name val="Calibri"/>
      <family val="2"/>
      <scheme val="minor"/>
    </font>
    <font>
      <b/>
      <sz val="9"/>
      <name val="Calibri"/>
      <family val="2"/>
      <scheme val="minor"/>
    </font>
    <font>
      <b/>
      <sz val="10"/>
      <color indexed="8"/>
      <name val="Calibri"/>
      <family val="2"/>
      <scheme val="minor"/>
    </font>
    <font>
      <b/>
      <sz val="10"/>
      <name val="Calibri"/>
      <family val="2"/>
      <scheme val="minor"/>
    </font>
    <font>
      <b/>
      <sz val="11"/>
      <color rgb="FF00B050"/>
      <name val="Calibri"/>
      <family val="2"/>
      <scheme val="minor"/>
    </font>
    <font>
      <sz val="9"/>
      <color rgb="FF00B050"/>
      <name val="Calibri"/>
      <family val="2"/>
      <scheme val="minor"/>
    </font>
    <font>
      <i/>
      <sz val="9"/>
      <color rgb="FF00B050"/>
      <name val="Calibri"/>
      <family val="2"/>
      <scheme val="minor"/>
    </font>
    <font>
      <u/>
      <sz val="9"/>
      <color rgb="FF00B050"/>
      <name val="Calibri"/>
      <family val="2"/>
      <scheme val="minor"/>
    </font>
    <font>
      <b/>
      <sz val="9"/>
      <color rgb="FF00B050"/>
      <name val="Calibri"/>
      <family val="2"/>
      <scheme val="minor"/>
    </font>
    <font>
      <b/>
      <sz val="9"/>
      <color rgb="FF00518E"/>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u/>
      <sz val="10"/>
      <color indexed="12"/>
      <name val="Calibri"/>
      <family val="2"/>
      <scheme val="minor"/>
    </font>
    <font>
      <b/>
      <sz val="8"/>
      <color rgb="FF00518E"/>
      <name val="Calibri"/>
      <family val="2"/>
      <scheme val="minor"/>
    </font>
    <font>
      <b/>
      <sz val="7"/>
      <color rgb="FF00518E"/>
      <name val="Calibri"/>
      <family val="2"/>
      <scheme val="minor"/>
    </font>
    <font>
      <sz val="9"/>
      <color rgb="FF00518E"/>
      <name val="Calibri"/>
      <family val="2"/>
      <scheme val="minor"/>
    </font>
    <font>
      <sz val="8"/>
      <color rgb="FF00518E"/>
      <name val="Calibri"/>
      <family val="2"/>
      <scheme val="minor"/>
    </font>
    <font>
      <sz val="10"/>
      <color indexed="8"/>
      <name val="Calibri"/>
      <family val="2"/>
      <scheme val="minor"/>
    </font>
    <font>
      <b/>
      <u/>
      <sz val="12"/>
      <color theme="1"/>
      <name val="Calibri"/>
      <family val="2"/>
      <scheme val="minor"/>
    </font>
    <font>
      <sz val="12"/>
      <color rgb="FF00B050"/>
      <name val="Calibri"/>
      <family val="2"/>
      <scheme val="minor"/>
    </font>
    <font>
      <b/>
      <u/>
      <sz val="12"/>
      <color rgb="FF00B050"/>
      <name val="Calibri"/>
      <family val="2"/>
      <scheme val="minor"/>
    </font>
    <font>
      <b/>
      <u/>
      <sz val="12"/>
      <color rgb="FFC00000"/>
      <name val="Calibri"/>
      <family val="2"/>
      <scheme val="minor"/>
    </font>
    <font>
      <sz val="12"/>
      <color rgb="FFC00000"/>
      <name val="Calibri"/>
      <family val="2"/>
      <scheme val="minor"/>
    </font>
    <font>
      <b/>
      <sz val="12"/>
      <color rgb="FFC00000"/>
      <name val="Calibri"/>
      <family val="2"/>
      <scheme val="minor"/>
    </font>
    <font>
      <b/>
      <sz val="12"/>
      <color rgb="FF324481"/>
      <name val="Calibri"/>
      <family val="2"/>
      <scheme val="minor"/>
    </font>
    <font>
      <b/>
      <sz val="10"/>
      <color rgb="FF324481"/>
      <name val="Calibri"/>
      <family val="2"/>
      <scheme val="minor"/>
    </font>
    <font>
      <sz val="8"/>
      <color rgb="FF324481"/>
      <name val="Calibri"/>
      <family val="2"/>
      <scheme val="minor"/>
    </font>
    <font>
      <sz val="12"/>
      <color rgb="FF324481"/>
      <name val="Calibri"/>
      <family val="2"/>
      <scheme val="minor"/>
    </font>
    <font>
      <b/>
      <i/>
      <sz val="9"/>
      <color rgb="FF324481"/>
      <name val="Calibri"/>
      <family val="2"/>
      <scheme val="minor"/>
    </font>
    <font>
      <b/>
      <sz val="11"/>
      <color rgb="FF324481"/>
      <name val="Calibri"/>
      <family val="2"/>
      <scheme val="minor"/>
    </font>
    <font>
      <b/>
      <u/>
      <sz val="14"/>
      <color rgb="FF324481"/>
      <name val="Calibri"/>
      <family val="2"/>
      <scheme val="minor"/>
    </font>
    <font>
      <b/>
      <sz val="10"/>
      <color rgb="FF324481"/>
      <name val="Arial"/>
      <family val="2"/>
    </font>
    <font>
      <sz val="10"/>
      <color rgb="FF324481"/>
      <name val="Myriad Pro"/>
      <family val="2"/>
    </font>
    <font>
      <b/>
      <sz val="10"/>
      <color rgb="FF324481"/>
      <name val="Myriad Pro"/>
      <family val="2"/>
    </font>
    <font>
      <b/>
      <sz val="18"/>
      <color rgb="FF324481"/>
      <name val="Calibri"/>
      <family val="2"/>
      <scheme val="minor"/>
    </font>
    <font>
      <i/>
      <sz val="11"/>
      <color rgb="FFAED246"/>
      <name val="Calibri"/>
      <family val="2"/>
      <scheme val="minor"/>
    </font>
    <font>
      <i/>
      <sz val="9"/>
      <color rgb="FFAED246"/>
      <name val="Calibri"/>
      <family val="2"/>
      <scheme val="minor"/>
    </font>
    <font>
      <i/>
      <sz val="10"/>
      <color theme="1"/>
      <name val="Calibri"/>
      <family val="2"/>
      <scheme val="minor"/>
    </font>
    <font>
      <i/>
      <sz val="10"/>
      <color rgb="FF324481"/>
      <name val="Calibri"/>
      <family val="2"/>
      <scheme val="minor"/>
    </font>
  </fonts>
  <fills count="10">
    <fill>
      <patternFill patternType="none"/>
    </fill>
    <fill>
      <patternFill patternType="gray125"/>
    </fill>
    <fill>
      <patternFill patternType="solid">
        <fgColor indexed="9"/>
        <bgColor indexed="8"/>
      </patternFill>
    </fill>
    <fill>
      <patternFill patternType="solid">
        <fgColor indexed="9"/>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79998168889431442"/>
        <bgColor theme="4" tint="0.79998168889431442"/>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164" fontId="37" fillId="0" borderId="0" applyFont="0" applyFill="0" applyBorder="0" applyAlignment="0" applyProtection="0"/>
    <xf numFmtId="0" fontId="38" fillId="2" borderId="0"/>
    <xf numFmtId="0" fontId="39" fillId="0" borderId="0" applyNumberFormat="0" applyFont="0" applyFill="0" applyBorder="0" applyAlignment="0" applyProtection="0"/>
    <xf numFmtId="0" fontId="39" fillId="0" borderId="0"/>
    <xf numFmtId="0" fontId="38" fillId="0" borderId="0"/>
    <xf numFmtId="0" fontId="40" fillId="3" borderId="0"/>
    <xf numFmtId="0" fontId="41" fillId="3" borderId="0"/>
  </cellStyleXfs>
  <cellXfs count="431">
    <xf numFmtId="0" fontId="0" fillId="0" borderId="0" xfId="0"/>
    <xf numFmtId="0" fontId="5" fillId="0" borderId="0"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7"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xf numFmtId="0" fontId="5" fillId="0" borderId="7" xfId="0" applyNumberFormat="1" applyFont="1" applyFill="1" applyBorder="1"/>
    <xf numFmtId="0" fontId="5" fillId="0" borderId="0" xfId="0" applyNumberFormat="1" applyFont="1" applyFill="1"/>
    <xf numFmtId="0" fontId="8" fillId="0" borderId="0" xfId="0" applyNumberFormat="1" applyFont="1" applyFill="1" applyBorder="1"/>
    <xf numFmtId="3" fontId="5" fillId="0" borderId="0" xfId="0" applyNumberFormat="1" applyFont="1" applyFill="1" applyBorder="1"/>
    <xf numFmtId="0" fontId="9" fillId="0" borderId="0" xfId="0" applyNumberFormat="1" applyFont="1" applyFill="1" applyBorder="1"/>
    <xf numFmtId="0" fontId="9" fillId="0" borderId="7" xfId="0" applyNumberFormat="1" applyFont="1" applyFill="1" applyBorder="1"/>
    <xf numFmtId="3" fontId="5" fillId="0" borderId="7" xfId="0" applyNumberFormat="1" applyFont="1" applyFill="1" applyBorder="1"/>
    <xf numFmtId="37" fontId="5" fillId="0" borderId="0" xfId="0" applyNumberFormat="1" applyFont="1" applyFill="1" applyBorder="1"/>
    <xf numFmtId="0" fontId="10" fillId="0" borderId="0" xfId="0" applyNumberFormat="1" applyFont="1" applyFill="1" applyBorder="1" applyAlignment="1">
      <alignment horizontal="center"/>
    </xf>
    <xf numFmtId="0" fontId="10" fillId="0" borderId="7" xfId="0" applyNumberFormat="1" applyFont="1" applyFill="1" applyBorder="1" applyAlignment="1">
      <alignment horizontal="center"/>
    </xf>
    <xf numFmtId="0" fontId="10" fillId="0" borderId="0" xfId="0" applyNumberFormat="1" applyFont="1" applyFill="1" applyBorder="1"/>
    <xf numFmtId="0" fontId="10" fillId="0" borderId="7" xfId="0" applyNumberFormat="1" applyFont="1" applyFill="1" applyBorder="1" applyAlignment="1">
      <alignment horizontal="left"/>
    </xf>
    <xf numFmtId="0" fontId="10" fillId="0" borderId="0" xfId="0" applyNumberFormat="1" applyFont="1" applyFill="1" applyBorder="1" applyAlignment="1">
      <alignment horizontal="left"/>
    </xf>
    <xf numFmtId="0" fontId="10" fillId="0" borderId="7" xfId="0" applyNumberFormat="1" applyFont="1" applyFill="1" applyBorder="1"/>
    <xf numFmtId="37" fontId="6" fillId="0" borderId="0" xfId="0" applyNumberFormat="1" applyFont="1" applyFill="1" applyBorder="1"/>
    <xf numFmtId="37" fontId="6" fillId="0" borderId="7" xfId="0" applyNumberFormat="1" applyFont="1" applyFill="1" applyBorder="1"/>
    <xf numFmtId="0" fontId="10" fillId="0" borderId="0" xfId="0" applyNumberFormat="1" applyFont="1" applyFill="1"/>
    <xf numFmtId="0" fontId="13" fillId="0" borderId="0" xfId="2" applyNumberFormat="1" applyFont="1" applyFill="1" applyBorder="1" applyAlignment="1" applyProtection="1"/>
    <xf numFmtId="0" fontId="14" fillId="0" borderId="0" xfId="2" applyNumberFormat="1" applyFont="1" applyFill="1" applyBorder="1" applyAlignment="1" applyProtection="1"/>
    <xf numFmtId="0" fontId="15" fillId="0" borderId="0" xfId="0" applyNumberFormat="1" applyFont="1" applyFill="1" applyBorder="1"/>
    <xf numFmtId="0" fontId="6" fillId="0" borderId="1" xfId="0" applyNumberFormat="1" applyFont="1" applyFill="1" applyBorder="1" applyAlignment="1">
      <alignment wrapText="1"/>
    </xf>
    <xf numFmtId="0" fontId="6" fillId="0" borderId="2" xfId="0" applyNumberFormat="1" applyFont="1" applyFill="1" applyBorder="1" applyAlignment="1">
      <alignment horizontal="center"/>
    </xf>
    <xf numFmtId="0" fontId="6" fillId="0" borderId="2" xfId="0" applyNumberFormat="1" applyFont="1" applyFill="1" applyBorder="1" applyAlignment="1">
      <alignment horizontal="left"/>
    </xf>
    <xf numFmtId="0" fontId="5" fillId="0" borderId="2" xfId="0" applyNumberFormat="1" applyFont="1" applyFill="1" applyBorder="1" applyAlignment="1">
      <alignment horizontal="center"/>
    </xf>
    <xf numFmtId="0" fontId="6" fillId="0" borderId="4" xfId="0" applyNumberFormat="1" applyFont="1" applyFill="1" applyBorder="1" applyAlignment="1">
      <alignment horizontal="center"/>
    </xf>
    <xf numFmtId="0" fontId="6" fillId="0" borderId="3" xfId="0" applyNumberFormat="1" applyFont="1" applyFill="1" applyBorder="1"/>
    <xf numFmtId="0" fontId="6" fillId="0" borderId="2" xfId="0" applyNumberFormat="1" applyFont="1" applyFill="1" applyBorder="1"/>
    <xf numFmtId="0" fontId="5" fillId="0" borderId="5" xfId="0" applyNumberFormat="1" applyFont="1" applyFill="1" applyBorder="1" applyAlignment="1">
      <alignment horizontal="left"/>
    </xf>
    <xf numFmtId="3" fontId="9" fillId="0" borderId="0" xfId="0" applyNumberFormat="1" applyFont="1" applyFill="1" applyBorder="1"/>
    <xf numFmtId="0" fontId="14" fillId="0" borderId="0" xfId="2" applyFont="1" applyAlignment="1" applyProtection="1"/>
    <xf numFmtId="0" fontId="5" fillId="0" borderId="6" xfId="0" applyNumberFormat="1" applyFont="1" applyFill="1" applyBorder="1" applyAlignment="1">
      <alignment horizontal="center"/>
    </xf>
    <xf numFmtId="0" fontId="5" fillId="0" borderId="8" xfId="0" applyNumberFormat="1" applyFont="1" applyFill="1" applyBorder="1" applyAlignment="1">
      <alignment horizontal="center"/>
    </xf>
    <xf numFmtId="0" fontId="10" fillId="0" borderId="6" xfId="0" applyNumberFormat="1" applyFont="1" applyFill="1" applyBorder="1" applyAlignment="1">
      <alignment horizontal="center"/>
    </xf>
    <xf numFmtId="0" fontId="10" fillId="0" borderId="8" xfId="0" applyNumberFormat="1" applyFont="1" applyFill="1" applyBorder="1" applyAlignment="1">
      <alignment horizontal="center"/>
    </xf>
    <xf numFmtId="3" fontId="15" fillId="0" borderId="0" xfId="0" applyNumberFormat="1" applyFont="1" applyFill="1" applyBorder="1"/>
    <xf numFmtId="0" fontId="13" fillId="0" borderId="0" xfId="2" applyFont="1" applyAlignment="1" applyProtection="1"/>
    <xf numFmtId="0" fontId="14" fillId="0" borderId="0" xfId="2" applyFont="1" applyFill="1" applyAlignment="1" applyProtection="1"/>
    <xf numFmtId="0" fontId="17" fillId="0" borderId="0" xfId="2" applyFont="1" applyFill="1" applyAlignment="1" applyProtection="1"/>
    <xf numFmtId="0" fontId="5" fillId="0" borderId="12" xfId="0" applyNumberFormat="1" applyFont="1" applyFill="1" applyBorder="1" applyAlignment="1">
      <alignment horizontal="center"/>
    </xf>
    <xf numFmtId="0" fontId="5" fillId="0" borderId="13" xfId="0" applyNumberFormat="1" applyFont="1" applyFill="1" applyBorder="1" applyAlignment="1">
      <alignment horizontal="center"/>
    </xf>
    <xf numFmtId="0" fontId="5" fillId="0" borderId="14" xfId="0" applyNumberFormat="1" applyFont="1" applyFill="1" applyBorder="1" applyAlignment="1">
      <alignment horizontal="left"/>
    </xf>
    <xf numFmtId="37" fontId="6" fillId="0" borderId="1" xfId="0" applyNumberFormat="1" applyFont="1" applyFill="1" applyBorder="1"/>
    <xf numFmtId="37" fontId="6" fillId="0" borderId="4" xfId="0" applyNumberFormat="1" applyFont="1" applyFill="1" applyBorder="1"/>
    <xf numFmtId="3" fontId="16" fillId="0" borderId="2" xfId="0" applyNumberFormat="1" applyFont="1" applyFill="1" applyBorder="1"/>
    <xf numFmtId="0" fontId="32" fillId="0" borderId="0" xfId="0" applyNumberFormat="1" applyFont="1" applyFill="1" applyAlignment="1">
      <alignment wrapText="1"/>
    </xf>
    <xf numFmtId="0" fontId="32" fillId="0" borderId="0" xfId="0" applyNumberFormat="1" applyFont="1" applyFill="1"/>
    <xf numFmtId="0" fontId="33" fillId="0" borderId="0" xfId="0" applyNumberFormat="1" applyFont="1" applyFill="1"/>
    <xf numFmtId="0" fontId="33" fillId="0" borderId="0" xfId="0" applyNumberFormat="1" applyFont="1" applyFill="1" applyAlignment="1">
      <alignment horizontal="left"/>
    </xf>
    <xf numFmtId="0" fontId="33" fillId="0" borderId="0" xfId="0" applyNumberFormat="1" applyFont="1" applyFill="1" applyAlignment="1">
      <alignment horizontal="center"/>
    </xf>
    <xf numFmtId="0" fontId="32" fillId="0" borderId="0" xfId="0" applyNumberFormat="1" applyFont="1" applyFill="1" applyAlignment="1">
      <alignment horizontal="center"/>
    </xf>
    <xf numFmtId="0" fontId="32" fillId="0" borderId="0" xfId="0" applyNumberFormat="1" applyFont="1" applyFill="1" applyAlignment="1">
      <alignment horizontal="left"/>
    </xf>
    <xf numFmtId="3" fontId="34" fillId="0" borderId="0" xfId="0" applyNumberFormat="1" applyFont="1" applyFill="1" applyBorder="1"/>
    <xf numFmtId="0" fontId="32" fillId="0" borderId="0" xfId="0" applyNumberFormat="1" applyFont="1" applyFill="1" applyBorder="1"/>
    <xf numFmtId="0" fontId="35" fillId="0" borderId="0" xfId="0" applyNumberFormat="1" applyFont="1" applyFill="1" applyAlignment="1">
      <alignment wrapText="1"/>
    </xf>
    <xf numFmtId="0" fontId="35" fillId="0" borderId="0" xfId="0" applyNumberFormat="1" applyFont="1" applyFill="1"/>
    <xf numFmtId="0" fontId="36" fillId="0" borderId="0" xfId="0" applyNumberFormat="1" applyFont="1" applyFill="1"/>
    <xf numFmtId="0" fontId="36" fillId="0" borderId="0" xfId="0" applyNumberFormat="1" applyFont="1" applyFill="1" applyAlignment="1">
      <alignment horizontal="left"/>
    </xf>
    <xf numFmtId="0" fontId="36" fillId="0" borderId="0" xfId="0" applyNumberFormat="1" applyFont="1" applyFill="1" applyAlignment="1">
      <alignment horizontal="center"/>
    </xf>
    <xf numFmtId="0" fontId="35" fillId="0" borderId="0" xfId="0" applyNumberFormat="1" applyFont="1" applyFill="1" applyAlignment="1">
      <alignment horizontal="center"/>
    </xf>
    <xf numFmtId="0" fontId="35" fillId="0" borderId="0" xfId="0" applyNumberFormat="1" applyFont="1" applyFill="1" applyAlignment="1">
      <alignment horizontal="left"/>
    </xf>
    <xf numFmtId="3" fontId="4" fillId="0" borderId="0" xfId="0" applyNumberFormat="1" applyFont="1" applyFill="1" applyBorder="1"/>
    <xf numFmtId="0" fontId="35" fillId="0" borderId="0" xfId="0" applyNumberFormat="1" applyFont="1" applyFill="1" applyBorder="1"/>
    <xf numFmtId="0" fontId="0" fillId="0" borderId="0" xfId="0"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Font="1"/>
    <xf numFmtId="0" fontId="0" fillId="0" borderId="0" xfId="0" applyFont="1" applyAlignment="1">
      <alignment wrapText="1"/>
    </xf>
    <xf numFmtId="0" fontId="7" fillId="0" borderId="0" xfId="0" applyFont="1" applyAlignment="1">
      <alignment horizontal="left" wrapText="1" indent="2"/>
    </xf>
    <xf numFmtId="0" fontId="0" fillId="0" borderId="0" xfId="0" applyFill="1" applyBorder="1" applyAlignment="1">
      <alignment wrapText="1"/>
    </xf>
    <xf numFmtId="0" fontId="43" fillId="0" borderId="0" xfId="0" applyFont="1" applyFill="1" applyBorder="1" applyAlignment="1">
      <alignment wrapText="1"/>
    </xf>
    <xf numFmtId="0" fontId="0" fillId="0" borderId="0" xfId="0" applyFill="1" applyBorder="1" applyAlignment="1">
      <alignment vertical="top" wrapText="1"/>
    </xf>
    <xf numFmtId="165" fontId="44" fillId="0" borderId="0" xfId="0" applyNumberFormat="1" applyFont="1"/>
    <xf numFmtId="165" fontId="45" fillId="0" borderId="0" xfId="0" applyNumberFormat="1" applyFont="1"/>
    <xf numFmtId="0" fontId="44" fillId="0" borderId="0" xfId="0" applyFont="1"/>
    <xf numFmtId="165" fontId="46" fillId="0" borderId="0" xfId="0" applyNumberFormat="1" applyFont="1"/>
    <xf numFmtId="165" fontId="42" fillId="0" borderId="0" xfId="0" applyNumberFormat="1" applyFont="1"/>
    <xf numFmtId="0" fontId="27" fillId="0" borderId="0" xfId="0" applyFont="1"/>
    <xf numFmtId="0" fontId="2" fillId="0" borderId="0" xfId="0" applyFont="1"/>
    <xf numFmtId="49" fontId="5" fillId="0" borderId="0" xfId="0" applyNumberFormat="1" applyFont="1" applyFill="1" applyBorder="1" applyAlignment="1">
      <alignment horizontal="center"/>
    </xf>
    <xf numFmtId="0" fontId="6" fillId="0" borderId="4" xfId="0" applyNumberFormat="1" applyFont="1" applyFill="1" applyBorder="1" applyAlignment="1">
      <alignment horizontal="left"/>
    </xf>
    <xf numFmtId="0" fontId="7" fillId="0" borderId="0" xfId="0" applyFont="1"/>
    <xf numFmtId="0" fontId="3" fillId="0" borderId="0" xfId="0" applyNumberFormat="1" applyFont="1" applyFill="1" applyBorder="1" applyAlignment="1">
      <alignment vertical="center"/>
    </xf>
    <xf numFmtId="0" fontId="0" fillId="0" borderId="16" xfId="0" applyNumberFormat="1" applyBorder="1" applyAlignment="1">
      <alignment horizontal="center"/>
    </xf>
    <xf numFmtId="165" fontId="44" fillId="0" borderId="17" xfId="0" applyNumberFormat="1" applyFont="1" applyBorder="1"/>
    <xf numFmtId="0" fontId="0" fillId="0" borderId="17" xfId="0" applyNumberFormat="1" applyBorder="1" applyAlignment="1">
      <alignment horizontal="center"/>
    </xf>
    <xf numFmtId="0" fontId="0" fillId="0" borderId="19" xfId="0" applyNumberFormat="1" applyBorder="1" applyAlignment="1">
      <alignment horizontal="center"/>
    </xf>
    <xf numFmtId="0" fontId="0" fillId="0" borderId="18" xfId="0" applyBorder="1" applyAlignment="1">
      <alignment horizontal="left"/>
    </xf>
    <xf numFmtId="0" fontId="0" fillId="0" borderId="20" xfId="0" applyBorder="1" applyAlignment="1">
      <alignment horizontal="left"/>
    </xf>
    <xf numFmtId="0" fontId="0" fillId="0" borderId="21" xfId="0" applyNumberFormat="1" applyBorder="1" applyAlignment="1">
      <alignment horizontal="center"/>
    </xf>
    <xf numFmtId="0" fontId="0" fillId="0" borderId="22" xfId="0" applyNumberFormat="1" applyBorder="1" applyAlignment="1">
      <alignment horizontal="center"/>
    </xf>
    <xf numFmtId="165" fontId="44" fillId="0" borderId="23" xfId="0" applyNumberFormat="1" applyFont="1" applyBorder="1"/>
    <xf numFmtId="0" fontId="0" fillId="0" borderId="24" xfId="0" applyBorder="1" applyAlignment="1">
      <alignment horizontal="left"/>
    </xf>
    <xf numFmtId="0" fontId="0" fillId="0" borderId="25" xfId="0" applyNumberFormat="1" applyBorder="1" applyAlignment="1">
      <alignment horizontal="center"/>
    </xf>
    <xf numFmtId="0" fontId="0" fillId="0" borderId="26" xfId="0" applyNumberFormat="1" applyBorder="1" applyAlignment="1">
      <alignment horizontal="center"/>
    </xf>
    <xf numFmtId="165" fontId="44" fillId="0" borderId="27" xfId="0" applyNumberFormat="1" applyFont="1" applyBorder="1"/>
    <xf numFmtId="0" fontId="0" fillId="0" borderId="24" xfId="0" applyNumberFormat="1" applyBorder="1" applyAlignment="1">
      <alignment horizontal="center"/>
    </xf>
    <xf numFmtId="0" fontId="0" fillId="0" borderId="0" xfId="0" applyAlignment="1">
      <alignment horizontal="center"/>
    </xf>
    <xf numFmtId="0" fontId="2" fillId="0" borderId="0" xfId="0" applyFont="1" applyAlignment="1">
      <alignment vertical="center" wrapText="1"/>
    </xf>
    <xf numFmtId="0" fontId="0" fillId="0" borderId="0" xfId="0" applyFont="1" applyAlignment="1">
      <alignment vertical="center" wrapText="1"/>
    </xf>
    <xf numFmtId="0" fontId="50" fillId="4" borderId="0" xfId="0" applyNumberFormat="1" applyFont="1" applyFill="1" applyAlignment="1">
      <alignment wrapText="1"/>
    </xf>
    <xf numFmtId="0" fontId="50" fillId="4" borderId="0" xfId="0" applyNumberFormat="1" applyFont="1" applyFill="1"/>
    <xf numFmtId="0" fontId="51" fillId="4" borderId="0" xfId="0" applyNumberFormat="1" applyFont="1" applyFill="1"/>
    <xf numFmtId="0" fontId="51" fillId="4" borderId="0" xfId="0" applyNumberFormat="1" applyFont="1" applyFill="1" applyAlignment="1">
      <alignment horizontal="left"/>
    </xf>
    <xf numFmtId="166" fontId="51" fillId="4" borderId="0" xfId="1" applyNumberFormat="1" applyFont="1" applyFill="1" applyAlignment="1">
      <alignment horizontal="left"/>
    </xf>
    <xf numFmtId="0" fontId="51" fillId="4" borderId="0" xfId="0" applyNumberFormat="1" applyFont="1" applyFill="1" applyAlignment="1">
      <alignment horizontal="center"/>
    </xf>
    <xf numFmtId="0" fontId="50" fillId="4" borderId="0" xfId="0" applyNumberFormat="1" applyFont="1" applyFill="1" applyAlignment="1">
      <alignment horizontal="center"/>
    </xf>
    <xf numFmtId="0" fontId="50" fillId="4" borderId="0" xfId="0" applyNumberFormat="1" applyFont="1" applyFill="1" applyAlignment="1">
      <alignment horizontal="left"/>
    </xf>
    <xf numFmtId="3" fontId="52" fillId="4" borderId="0" xfId="0" applyNumberFormat="1" applyFont="1" applyFill="1" applyBorder="1"/>
    <xf numFmtId="0" fontId="50" fillId="0" borderId="0" xfId="0" applyNumberFormat="1" applyFont="1" applyFill="1" applyBorder="1"/>
    <xf numFmtId="0" fontId="50" fillId="0" borderId="0" xfId="0" applyNumberFormat="1" applyFont="1" applyFill="1"/>
    <xf numFmtId="0" fontId="3" fillId="4" borderId="0" xfId="0" applyNumberFormat="1" applyFont="1" applyFill="1" applyBorder="1" applyAlignment="1">
      <alignment vertical="center" wrapText="1"/>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left" vertical="center"/>
    </xf>
    <xf numFmtId="166" fontId="3" fillId="4" borderId="0" xfId="1" applyNumberFormat="1" applyFont="1" applyFill="1" applyBorder="1" applyAlignment="1">
      <alignment horizontal="left" vertical="center"/>
    </xf>
    <xf numFmtId="0" fontId="53" fillId="0" borderId="1" xfId="0" applyNumberFormat="1" applyFont="1" applyFill="1" applyBorder="1" applyAlignment="1">
      <alignment horizontal="center" vertical="center" wrapText="1"/>
    </xf>
    <xf numFmtId="0" fontId="53" fillId="0" borderId="2" xfId="0" applyNumberFormat="1" applyFont="1" applyFill="1" applyBorder="1" applyAlignment="1">
      <alignment horizontal="center" vertical="center" wrapText="1"/>
    </xf>
    <xf numFmtId="0" fontId="53" fillId="0" borderId="3" xfId="0" applyNumberFormat="1" applyFont="1" applyFill="1" applyBorder="1" applyAlignment="1">
      <alignment horizontal="center" vertical="center" wrapText="1"/>
    </xf>
    <xf numFmtId="0" fontId="53" fillId="0" borderId="4" xfId="0" applyNumberFormat="1" applyFont="1" applyFill="1" applyBorder="1" applyAlignment="1">
      <alignment horizontal="center" vertical="center" wrapText="1"/>
    </xf>
    <xf numFmtId="166" fontId="53" fillId="0" borderId="2" xfId="1" applyNumberFormat="1" applyFont="1" applyFill="1" applyBorder="1" applyAlignment="1">
      <alignment horizontal="center" vertical="center" wrapText="1"/>
    </xf>
    <xf numFmtId="0" fontId="53" fillId="0" borderId="3" xfId="0" applyNumberFormat="1" applyFont="1" applyFill="1" applyBorder="1" applyAlignment="1">
      <alignment horizontal="left" vertical="center" wrapText="1"/>
    </xf>
    <xf numFmtId="0" fontId="53" fillId="5" borderId="2" xfId="0" applyNumberFormat="1" applyFont="1" applyFill="1" applyBorder="1" applyAlignment="1">
      <alignment horizontal="center" vertical="center" wrapText="1"/>
    </xf>
    <xf numFmtId="0" fontId="53" fillId="5" borderId="4" xfId="0" applyNumberFormat="1" applyFont="1" applyFill="1" applyBorder="1" applyAlignment="1">
      <alignment horizontal="center" vertical="center" wrapText="1"/>
    </xf>
    <xf numFmtId="0" fontId="53" fillId="5" borderId="1" xfId="0" applyNumberFormat="1" applyFont="1" applyFill="1" applyBorder="1" applyAlignment="1">
      <alignment horizontal="center" vertical="center" wrapText="1"/>
    </xf>
    <xf numFmtId="0" fontId="53" fillId="6" borderId="1" xfId="0" applyNumberFormat="1" applyFont="1" applyFill="1" applyBorder="1" applyAlignment="1">
      <alignment horizontal="center" vertical="center" wrapText="1"/>
    </xf>
    <xf numFmtId="0" fontId="53" fillId="6" borderId="2" xfId="0" applyNumberFormat="1" applyFont="1" applyFill="1" applyBorder="1" applyAlignment="1">
      <alignment horizontal="center" vertical="center" wrapText="1"/>
    </xf>
    <xf numFmtId="0" fontId="53" fillId="6" borderId="4" xfId="0" applyNumberFormat="1" applyFont="1" applyFill="1" applyBorder="1" applyAlignment="1">
      <alignment horizontal="center" vertical="center" wrapText="1"/>
    </xf>
    <xf numFmtId="0" fontId="53" fillId="7" borderId="1" xfId="0" applyNumberFormat="1" applyFont="1" applyFill="1" applyBorder="1" applyAlignment="1">
      <alignment horizontal="center" vertical="center" wrapText="1"/>
    </xf>
    <xf numFmtId="0" fontId="53" fillId="7" borderId="2" xfId="0" applyNumberFormat="1" applyFont="1" applyFill="1" applyBorder="1" applyAlignment="1">
      <alignment horizontal="center" vertical="center" wrapText="1"/>
    </xf>
    <xf numFmtId="0" fontId="53" fillId="7" borderId="4" xfId="0" applyNumberFormat="1" applyFont="1" applyFill="1" applyBorder="1" applyAlignment="1">
      <alignment horizontal="center" vertical="center" wrapText="1"/>
    </xf>
    <xf numFmtId="37" fontId="53" fillId="0" borderId="4" xfId="0" applyNumberFormat="1" applyFont="1" applyFill="1" applyBorder="1" applyAlignment="1">
      <alignment horizontal="center" vertical="center" wrapText="1"/>
    </xf>
    <xf numFmtId="37" fontId="53" fillId="0" borderId="3" xfId="0" applyNumberFormat="1" applyFont="1" applyFill="1" applyBorder="1" applyAlignment="1">
      <alignment horizontal="center" vertical="center" wrapText="1"/>
    </xf>
    <xf numFmtId="0" fontId="54" fillId="0" borderId="0" xfId="0" applyNumberFormat="1" applyFont="1" applyFill="1" applyBorder="1" applyAlignment="1">
      <alignment horizontal="center" vertical="center" wrapText="1"/>
    </xf>
    <xf numFmtId="0" fontId="54" fillId="0" borderId="5" xfId="0" applyNumberFormat="1" applyFont="1" applyFill="1" applyBorder="1" applyAlignment="1">
      <alignment horizontal="center" vertical="center" wrapText="1"/>
    </xf>
    <xf numFmtId="0" fontId="5" fillId="0" borderId="5" xfId="0" applyNumberFormat="1" applyFont="1" applyFill="1" applyBorder="1" applyAlignment="1">
      <alignment wrapText="1"/>
    </xf>
    <xf numFmtId="166" fontId="5" fillId="0" borderId="0" xfId="1" applyNumberFormat="1" applyFont="1" applyFill="1" applyBorder="1" applyAlignment="1">
      <alignment horizontal="left"/>
    </xf>
    <xf numFmtId="0" fontId="5" fillId="0" borderId="5" xfId="0" applyNumberFormat="1" applyFont="1" applyFill="1" applyBorder="1" applyAlignment="1">
      <alignment horizontal="center"/>
    </xf>
    <xf numFmtId="166" fontId="5" fillId="5" borderId="0" xfId="1" applyNumberFormat="1" applyFont="1" applyFill="1" applyBorder="1" applyAlignment="1">
      <alignment horizontal="center"/>
    </xf>
    <xf numFmtId="166" fontId="5" fillId="5" borderId="8" xfId="1" applyNumberFormat="1" applyFont="1" applyFill="1" applyBorder="1" applyAlignment="1">
      <alignment horizontal="center"/>
    </xf>
    <xf numFmtId="166" fontId="5" fillId="5" borderId="6" xfId="1" applyNumberFormat="1" applyFont="1" applyFill="1" applyBorder="1" applyAlignment="1">
      <alignment horizontal="center"/>
    </xf>
    <xf numFmtId="166" fontId="5" fillId="5" borderId="9" xfId="1" applyNumberFormat="1" applyFont="1" applyFill="1" applyBorder="1" applyAlignment="1">
      <alignment horizontal="center"/>
    </xf>
    <xf numFmtId="166" fontId="5" fillId="5" borderId="10" xfId="1" applyNumberFormat="1" applyFont="1" applyFill="1" applyBorder="1" applyAlignment="1">
      <alignment horizontal="center"/>
    </xf>
    <xf numFmtId="166" fontId="5" fillId="5" borderId="11" xfId="1" applyNumberFormat="1" applyFont="1" applyFill="1" applyBorder="1" applyAlignment="1">
      <alignment horizontal="center"/>
    </xf>
    <xf numFmtId="166" fontId="5" fillId="6" borderId="6" xfId="1" applyNumberFormat="1" applyFont="1" applyFill="1" applyBorder="1" applyAlignment="1">
      <alignment horizontal="center"/>
    </xf>
    <xf numFmtId="166" fontId="5" fillId="6" borderId="0" xfId="1" applyNumberFormat="1" applyFont="1" applyFill="1" applyBorder="1" applyAlignment="1">
      <alignment horizontal="center"/>
    </xf>
    <xf numFmtId="166" fontId="5" fillId="6" borderId="8" xfId="1" applyNumberFormat="1" applyFont="1" applyFill="1" applyBorder="1" applyAlignment="1">
      <alignment horizontal="center"/>
    </xf>
    <xf numFmtId="166" fontId="5" fillId="0" borderId="6" xfId="1" applyNumberFormat="1" applyFont="1" applyFill="1" applyBorder="1" applyAlignment="1">
      <alignment horizontal="center"/>
    </xf>
    <xf numFmtId="166" fontId="5" fillId="0" borderId="0" xfId="1" applyNumberFormat="1" applyFont="1" applyFill="1" applyBorder="1" applyAlignment="1">
      <alignment horizontal="center"/>
    </xf>
    <xf numFmtId="166" fontId="5" fillId="0" borderId="9" xfId="1" applyNumberFormat="1" applyFont="1" applyFill="1" applyBorder="1" applyAlignment="1">
      <alignment horizontal="center"/>
    </xf>
    <xf numFmtId="166" fontId="5" fillId="0" borderId="10" xfId="1" applyNumberFormat="1" applyFont="1" applyFill="1" applyBorder="1" applyAlignment="1">
      <alignment horizontal="center"/>
    </xf>
    <xf numFmtId="166" fontId="5" fillId="0" borderId="11" xfId="1" applyNumberFormat="1" applyFont="1" applyFill="1" applyBorder="1" applyAlignment="1">
      <alignment horizontal="center"/>
    </xf>
    <xf numFmtId="166" fontId="5" fillId="7" borderId="0" xfId="1" applyNumberFormat="1" applyFont="1" applyFill="1" applyBorder="1" applyAlignment="1">
      <alignment horizontal="center"/>
    </xf>
    <xf numFmtId="166" fontId="6" fillId="0" borderId="0" xfId="1" applyNumberFormat="1" applyFont="1" applyFill="1" applyBorder="1" applyAlignment="1"/>
    <xf numFmtId="166" fontId="6" fillId="0" borderId="5" xfId="1" applyNumberFormat="1" applyFont="1" applyFill="1" applyBorder="1" applyAlignment="1"/>
    <xf numFmtId="0" fontId="5" fillId="0" borderId="7" xfId="0" applyNumberFormat="1" applyFont="1" applyFill="1" applyBorder="1" applyAlignment="1">
      <alignment wrapText="1"/>
    </xf>
    <xf numFmtId="0" fontId="5" fillId="5" borderId="0" xfId="0" applyNumberFormat="1" applyFont="1" applyFill="1" applyBorder="1" applyAlignment="1">
      <alignment horizontal="center"/>
    </xf>
    <xf numFmtId="0" fontId="5" fillId="5" borderId="8" xfId="0" applyNumberFormat="1" applyFont="1" applyFill="1" applyBorder="1" applyAlignment="1">
      <alignment horizontal="center"/>
    </xf>
    <xf numFmtId="0" fontId="5" fillId="5" borderId="6" xfId="0" applyNumberFormat="1" applyFont="1" applyFill="1" applyBorder="1" applyAlignment="1">
      <alignment horizontal="center"/>
    </xf>
    <xf numFmtId="0" fontId="5" fillId="6" borderId="6" xfId="0" applyNumberFormat="1" applyFont="1" applyFill="1" applyBorder="1" applyAlignment="1">
      <alignment horizontal="center"/>
    </xf>
    <xf numFmtId="0" fontId="5" fillId="6" borderId="0" xfId="0" applyNumberFormat="1" applyFont="1" applyFill="1" applyBorder="1" applyAlignment="1">
      <alignment horizontal="center"/>
    </xf>
    <xf numFmtId="0" fontId="5" fillId="6" borderId="8" xfId="0" applyNumberFormat="1" applyFont="1" applyFill="1" applyBorder="1" applyAlignment="1">
      <alignment horizontal="center"/>
    </xf>
    <xf numFmtId="166" fontId="5" fillId="0" borderId="8" xfId="1" applyNumberFormat="1" applyFont="1" applyFill="1" applyBorder="1" applyAlignment="1">
      <alignment horizontal="center"/>
    </xf>
    <xf numFmtId="166" fontId="6" fillId="0" borderId="7" xfId="1" applyNumberFormat="1" applyFont="1" applyFill="1" applyBorder="1" applyAlignment="1"/>
    <xf numFmtId="0" fontId="5" fillId="0" borderId="0" xfId="0" applyNumberFormat="1" applyFont="1" applyFill="1" applyBorder="1" applyAlignment="1">
      <alignment horizontal="center" wrapText="1"/>
    </xf>
    <xf numFmtId="0" fontId="14" fillId="0" borderId="0" xfId="2" applyFont="1" applyBorder="1" applyAlignment="1" applyProtection="1"/>
    <xf numFmtId="0" fontId="8" fillId="0" borderId="7" xfId="0" applyNumberFormat="1" applyFont="1" applyFill="1" applyBorder="1" applyAlignment="1">
      <alignment wrapText="1"/>
    </xf>
    <xf numFmtId="0" fontId="8" fillId="0" borderId="0" xfId="0" applyNumberFormat="1" applyFont="1" applyFill="1" applyBorder="1" applyAlignment="1">
      <alignment horizontal="center"/>
    </xf>
    <xf numFmtId="0" fontId="8" fillId="0" borderId="6" xfId="0" applyNumberFormat="1" applyFont="1" applyFill="1" applyBorder="1" applyAlignment="1">
      <alignment horizontal="center"/>
    </xf>
    <xf numFmtId="0" fontId="8" fillId="0" borderId="7" xfId="0" applyNumberFormat="1" applyFont="1" applyFill="1" applyBorder="1" applyAlignment="1">
      <alignment horizontal="left"/>
    </xf>
    <xf numFmtId="166" fontId="8" fillId="0" borderId="0" xfId="1" applyNumberFormat="1" applyFont="1" applyFill="1" applyBorder="1" applyAlignment="1">
      <alignment horizontal="left"/>
    </xf>
    <xf numFmtId="49" fontId="8" fillId="0" borderId="0" xfId="0" applyNumberFormat="1" applyFont="1" applyFill="1" applyBorder="1" applyAlignment="1">
      <alignment horizontal="center"/>
    </xf>
    <xf numFmtId="0" fontId="8" fillId="0" borderId="0" xfId="0" applyNumberFormat="1" applyFont="1" applyFill="1" applyBorder="1" applyAlignment="1">
      <alignment horizontal="left"/>
    </xf>
    <xf numFmtId="0" fontId="8" fillId="0" borderId="7" xfId="0" applyNumberFormat="1" applyFont="1" applyFill="1" applyBorder="1" applyAlignment="1">
      <alignment horizontal="center"/>
    </xf>
    <xf numFmtId="166" fontId="8" fillId="5" borderId="0" xfId="1" applyNumberFormat="1" applyFont="1" applyFill="1" applyBorder="1" applyAlignment="1">
      <alignment horizontal="center"/>
    </xf>
    <xf numFmtId="166" fontId="8" fillId="5" borderId="8" xfId="1" applyNumberFormat="1" applyFont="1" applyFill="1" applyBorder="1" applyAlignment="1">
      <alignment horizontal="center"/>
    </xf>
    <xf numFmtId="166" fontId="8" fillId="5" borderId="6" xfId="1" applyNumberFormat="1" applyFont="1" applyFill="1" applyBorder="1" applyAlignment="1">
      <alignment horizontal="center"/>
    </xf>
    <xf numFmtId="166" fontId="8" fillId="6" borderId="6" xfId="1" applyNumberFormat="1" applyFont="1" applyFill="1" applyBorder="1" applyAlignment="1">
      <alignment horizontal="center"/>
    </xf>
    <xf numFmtId="166" fontId="8" fillId="6" borderId="0" xfId="1" applyNumberFormat="1" applyFont="1" applyFill="1" applyBorder="1" applyAlignment="1">
      <alignment horizontal="center"/>
    </xf>
    <xf numFmtId="166" fontId="8" fillId="6" borderId="8" xfId="1" applyNumberFormat="1" applyFont="1" applyFill="1" applyBorder="1" applyAlignment="1">
      <alignment horizontal="center"/>
    </xf>
    <xf numFmtId="166" fontId="8" fillId="0" borderId="6" xfId="1" applyNumberFormat="1" applyFont="1" applyFill="1" applyBorder="1" applyAlignment="1">
      <alignment horizontal="center"/>
    </xf>
    <xf numFmtId="166" fontId="8" fillId="0" borderId="0" xfId="1" applyNumberFormat="1" applyFont="1" applyFill="1" applyBorder="1" applyAlignment="1">
      <alignment horizontal="center"/>
    </xf>
    <xf numFmtId="166" fontId="8" fillId="0" borderId="8" xfId="1" applyNumberFormat="1" applyFont="1" applyFill="1" applyBorder="1" applyAlignment="1">
      <alignment horizontal="center"/>
    </xf>
    <xf numFmtId="166" fontId="8" fillId="7" borderId="0" xfId="1" applyNumberFormat="1" applyFont="1" applyFill="1" applyBorder="1" applyAlignment="1">
      <alignment horizontal="center"/>
    </xf>
    <xf numFmtId="166" fontId="55" fillId="0" borderId="0" xfId="1" applyNumberFormat="1" applyFont="1" applyFill="1" applyBorder="1" applyAlignment="1"/>
    <xf numFmtId="166" fontId="55" fillId="0" borderId="7" xfId="1" applyNumberFormat="1" applyFont="1" applyFill="1" applyBorder="1" applyAlignment="1"/>
    <xf numFmtId="0" fontId="8" fillId="0" borderId="7" xfId="0" applyNumberFormat="1" applyFont="1" applyFill="1" applyBorder="1"/>
    <xf numFmtId="0" fontId="10" fillId="0" borderId="7" xfId="0" applyNumberFormat="1" applyFont="1" applyFill="1" applyBorder="1" applyAlignment="1">
      <alignment wrapText="1"/>
    </xf>
    <xf numFmtId="166" fontId="10" fillId="0" borderId="0" xfId="1" applyNumberFormat="1" applyFont="1" applyFill="1" applyBorder="1" applyAlignment="1">
      <alignment horizontal="left"/>
    </xf>
    <xf numFmtId="0" fontId="10" fillId="5" borderId="0" xfId="0" applyNumberFormat="1" applyFont="1" applyFill="1" applyBorder="1" applyAlignment="1">
      <alignment horizontal="center"/>
    </xf>
    <xf numFmtId="0" fontId="10" fillId="5" borderId="8" xfId="0" applyNumberFormat="1" applyFont="1" applyFill="1" applyBorder="1" applyAlignment="1">
      <alignment horizontal="center"/>
    </xf>
    <xf numFmtId="0" fontId="10" fillId="5" borderId="6" xfId="0" applyNumberFormat="1" applyFont="1" applyFill="1" applyBorder="1" applyAlignment="1">
      <alignment horizontal="center"/>
    </xf>
    <xf numFmtId="0" fontId="10" fillId="6" borderId="6" xfId="0" applyNumberFormat="1" applyFont="1" applyFill="1" applyBorder="1" applyAlignment="1">
      <alignment horizontal="center"/>
    </xf>
    <xf numFmtId="0" fontId="10" fillId="6" borderId="0" xfId="0" applyNumberFormat="1" applyFont="1" applyFill="1" applyBorder="1" applyAlignment="1">
      <alignment horizontal="center"/>
    </xf>
    <xf numFmtId="0" fontId="10" fillId="6" borderId="8" xfId="0" applyNumberFormat="1" applyFont="1" applyFill="1" applyBorder="1" applyAlignment="1">
      <alignment horizontal="center"/>
    </xf>
    <xf numFmtId="166" fontId="10" fillId="0" borderId="6" xfId="1" applyNumberFormat="1" applyFont="1" applyFill="1" applyBorder="1" applyAlignment="1">
      <alignment horizontal="center"/>
    </xf>
    <xf numFmtId="166" fontId="10" fillId="0" borderId="0" xfId="1" applyNumberFormat="1" applyFont="1" applyFill="1" applyBorder="1" applyAlignment="1">
      <alignment horizontal="center"/>
    </xf>
    <xf numFmtId="166" fontId="10" fillId="0" borderId="8" xfId="1" applyNumberFormat="1" applyFont="1" applyFill="1" applyBorder="1" applyAlignment="1">
      <alignment horizontal="center"/>
    </xf>
    <xf numFmtId="166" fontId="10" fillId="7" borderId="0" xfId="1" applyNumberFormat="1" applyFont="1" applyFill="1" applyBorder="1" applyAlignment="1">
      <alignment horizontal="center"/>
    </xf>
    <xf numFmtId="0" fontId="10" fillId="0" borderId="0" xfId="0" applyNumberFormat="1" applyFont="1" applyFill="1" applyBorder="1" applyAlignment="1">
      <alignment horizontal="center" wrapText="1"/>
    </xf>
    <xf numFmtId="49" fontId="10" fillId="0" borderId="0" xfId="0" applyNumberFormat="1" applyFont="1" applyFill="1" applyBorder="1" applyAlignment="1">
      <alignment horizontal="center"/>
    </xf>
    <xf numFmtId="166" fontId="10" fillId="5" borderId="0" xfId="1" applyNumberFormat="1" applyFont="1" applyFill="1" applyBorder="1" applyAlignment="1">
      <alignment horizontal="center"/>
    </xf>
    <xf numFmtId="166" fontId="10" fillId="5" borderId="8" xfId="1" applyNumberFormat="1" applyFont="1" applyFill="1" applyBorder="1" applyAlignment="1">
      <alignment horizontal="center"/>
    </xf>
    <xf numFmtId="166" fontId="10" fillId="5" borderId="6" xfId="1" applyNumberFormat="1" applyFont="1" applyFill="1" applyBorder="1" applyAlignment="1">
      <alignment horizontal="center"/>
    </xf>
    <xf numFmtId="166" fontId="10" fillId="6" borderId="6" xfId="1" applyNumberFormat="1" applyFont="1" applyFill="1" applyBorder="1" applyAlignment="1">
      <alignment horizontal="center"/>
    </xf>
    <xf numFmtId="166" fontId="10" fillId="6" borderId="0" xfId="1" applyNumberFormat="1" applyFont="1" applyFill="1" applyBorder="1" applyAlignment="1">
      <alignment horizontal="center"/>
    </xf>
    <xf numFmtId="166" fontId="10" fillId="6" borderId="8" xfId="1" applyNumberFormat="1" applyFont="1" applyFill="1" applyBorder="1" applyAlignment="1">
      <alignment horizontal="center"/>
    </xf>
    <xf numFmtId="166" fontId="11" fillId="0" borderId="0" xfId="1" applyNumberFormat="1" applyFont="1" applyFill="1" applyBorder="1" applyAlignment="1"/>
    <xf numFmtId="166" fontId="11" fillId="0" borderId="7" xfId="1" applyNumberFormat="1" applyFont="1" applyFill="1" applyBorder="1" applyAlignment="1"/>
    <xf numFmtId="3" fontId="10" fillId="0" borderId="7" xfId="0" applyNumberFormat="1" applyFont="1" applyFill="1" applyBorder="1"/>
    <xf numFmtId="3" fontId="10" fillId="0" borderId="0" xfId="0" applyNumberFormat="1" applyFont="1" applyFill="1" applyBorder="1"/>
    <xf numFmtId="0" fontId="5" fillId="0" borderId="7" xfId="0" applyNumberFormat="1" applyFont="1" applyFill="1" applyBorder="1" applyAlignment="1">
      <alignment horizontal="center" wrapText="1"/>
    </xf>
    <xf numFmtId="0" fontId="10" fillId="0" borderId="7" xfId="0" applyNumberFormat="1" applyFont="1" applyFill="1" applyBorder="1" applyAlignment="1">
      <alignment horizontal="center" wrapText="1"/>
    </xf>
    <xf numFmtId="0" fontId="5" fillId="0" borderId="14" xfId="0" applyNumberFormat="1" applyFont="1" applyFill="1" applyBorder="1" applyAlignment="1">
      <alignment wrapText="1"/>
    </xf>
    <xf numFmtId="166" fontId="5" fillId="0" borderId="12" xfId="1" applyNumberFormat="1" applyFont="1" applyFill="1" applyBorder="1" applyAlignment="1">
      <alignment horizontal="left"/>
    </xf>
    <xf numFmtId="49" fontId="5" fillId="0" borderId="12" xfId="0" applyNumberFormat="1" applyFont="1" applyFill="1" applyBorder="1" applyAlignment="1">
      <alignment horizontal="center"/>
    </xf>
    <xf numFmtId="0" fontId="5" fillId="0" borderId="14" xfId="0" applyNumberFormat="1" applyFont="1" applyFill="1" applyBorder="1" applyAlignment="1">
      <alignment horizontal="center"/>
    </xf>
    <xf numFmtId="166" fontId="5" fillId="0" borderId="13" xfId="1" applyNumberFormat="1" applyFont="1" applyFill="1" applyBorder="1" applyAlignment="1">
      <alignment horizontal="center"/>
    </xf>
    <xf numFmtId="166" fontId="5" fillId="0" borderId="12" xfId="1" applyNumberFormat="1" applyFont="1" applyFill="1" applyBorder="1" applyAlignment="1">
      <alignment horizontal="center"/>
    </xf>
    <xf numFmtId="166" fontId="5" fillId="0" borderId="15" xfId="1" applyNumberFormat="1" applyFont="1" applyFill="1" applyBorder="1" applyAlignment="1">
      <alignment horizontal="center"/>
    </xf>
    <xf numFmtId="166" fontId="5" fillId="7" borderId="12" xfId="1" applyNumberFormat="1" applyFont="1" applyFill="1" applyBorder="1" applyAlignment="1">
      <alignment horizontal="center"/>
    </xf>
    <xf numFmtId="166" fontId="6" fillId="0" borderId="12" xfId="1" applyNumberFormat="1" applyFont="1" applyFill="1" applyBorder="1" applyAlignment="1"/>
    <xf numFmtId="166" fontId="6" fillId="0" borderId="14" xfId="1" applyNumberFormat="1" applyFont="1" applyFill="1" applyBorder="1" applyAlignment="1"/>
    <xf numFmtId="0" fontId="5" fillId="0" borderId="14" xfId="0" applyNumberFormat="1" applyFont="1" applyFill="1" applyBorder="1"/>
    <xf numFmtId="0" fontId="6" fillId="8" borderId="3" xfId="0" applyNumberFormat="1" applyFont="1" applyFill="1" applyBorder="1" applyAlignment="1">
      <alignment horizontal="center"/>
    </xf>
    <xf numFmtId="0" fontId="6" fillId="0" borderId="1" xfId="0" applyNumberFormat="1" applyFont="1" applyFill="1" applyBorder="1" applyAlignment="1">
      <alignment horizontal="left"/>
    </xf>
    <xf numFmtId="166" fontId="6" fillId="0" borderId="2" xfId="1" applyNumberFormat="1" applyFont="1" applyFill="1" applyBorder="1" applyAlignment="1">
      <alignment horizontal="left"/>
    </xf>
    <xf numFmtId="0" fontId="6" fillId="5" borderId="2" xfId="0" applyNumberFormat="1" applyFont="1" applyFill="1" applyBorder="1" applyAlignment="1">
      <alignment horizontal="center"/>
    </xf>
    <xf numFmtId="0" fontId="6" fillId="6" borderId="2" xfId="0" applyNumberFormat="1" applyFont="1" applyFill="1" applyBorder="1" applyAlignment="1">
      <alignment horizontal="center"/>
    </xf>
    <xf numFmtId="0" fontId="6" fillId="4" borderId="0" xfId="0" applyNumberFormat="1" applyFont="1" applyFill="1" applyBorder="1" applyAlignment="1">
      <alignment wrapText="1"/>
    </xf>
    <xf numFmtId="0" fontId="6" fillId="4" borderId="0" xfId="0" applyNumberFormat="1" applyFont="1" applyFill="1" applyBorder="1" applyAlignment="1">
      <alignment horizontal="center"/>
    </xf>
    <xf numFmtId="0" fontId="6" fillId="4" borderId="0" xfId="0" applyNumberFormat="1" applyFont="1" applyFill="1" applyBorder="1" applyAlignment="1">
      <alignment horizontal="left"/>
    </xf>
    <xf numFmtId="166" fontId="6" fillId="4" borderId="0" xfId="1" applyNumberFormat="1" applyFont="1" applyFill="1" applyBorder="1" applyAlignment="1">
      <alignment horizontal="left"/>
    </xf>
    <xf numFmtId="0" fontId="5" fillId="4" borderId="0" xfId="0" applyNumberFormat="1" applyFont="1" applyFill="1" applyBorder="1" applyAlignment="1">
      <alignment horizontal="center"/>
    </xf>
    <xf numFmtId="37" fontId="6" fillId="4" borderId="0" xfId="0" applyNumberFormat="1" applyFont="1" applyFill="1" applyBorder="1"/>
    <xf numFmtId="3" fontId="16" fillId="4" borderId="0" xfId="0" applyNumberFormat="1" applyFont="1" applyFill="1" applyBorder="1"/>
    <xf numFmtId="0" fontId="6" fillId="4" borderId="0" xfId="0" applyNumberFormat="1" applyFont="1" applyFill="1" applyBorder="1"/>
    <xf numFmtId="0" fontId="2" fillId="4" borderId="0" xfId="0" applyNumberFormat="1" applyFont="1" applyFill="1" applyBorder="1" applyAlignment="1">
      <alignment horizontal="left"/>
    </xf>
    <xf numFmtId="166" fontId="2" fillId="4" borderId="0" xfId="1" applyNumberFormat="1" applyFont="1" applyFill="1" applyBorder="1" applyAlignment="1">
      <alignment horizontal="left"/>
    </xf>
    <xf numFmtId="0" fontId="18" fillId="4" borderId="0" xfId="0" applyNumberFormat="1" applyFont="1" applyFill="1" applyBorder="1" applyAlignment="1">
      <alignment horizontal="center"/>
    </xf>
    <xf numFmtId="0" fontId="19" fillId="4" borderId="0" xfId="0" applyNumberFormat="1" applyFont="1" applyFill="1" applyBorder="1" applyAlignment="1">
      <alignment horizontal="center"/>
    </xf>
    <xf numFmtId="0" fontId="19" fillId="4" borderId="0" xfId="0" applyNumberFormat="1" applyFont="1" applyFill="1" applyBorder="1" applyAlignment="1">
      <alignment horizontal="left"/>
    </xf>
    <xf numFmtId="166" fontId="19" fillId="4" borderId="0" xfId="1" applyNumberFormat="1" applyFont="1" applyFill="1" applyBorder="1" applyAlignment="1">
      <alignment horizontal="left"/>
    </xf>
    <xf numFmtId="0" fontId="18" fillId="4" borderId="0" xfId="0" applyNumberFormat="1" applyFont="1" applyFill="1" applyBorder="1" applyAlignment="1">
      <alignment horizontal="left"/>
    </xf>
    <xf numFmtId="3" fontId="20" fillId="4" borderId="0" xfId="0" applyNumberFormat="1" applyFont="1" applyFill="1" applyBorder="1"/>
    <xf numFmtId="3" fontId="21" fillId="4" borderId="0" xfId="0" applyNumberFormat="1" applyFont="1" applyFill="1" applyBorder="1"/>
    <xf numFmtId="0" fontId="18" fillId="4" borderId="0" xfId="0" applyNumberFormat="1" applyFont="1" applyFill="1" applyBorder="1"/>
    <xf numFmtId="0" fontId="18" fillId="4" borderId="0" xfId="0" applyNumberFormat="1" applyFont="1" applyFill="1"/>
    <xf numFmtId="0" fontId="22" fillId="4" borderId="0" xfId="0" applyNumberFormat="1" applyFont="1" applyFill="1"/>
    <xf numFmtId="166" fontId="22" fillId="4" borderId="0" xfId="1" applyNumberFormat="1" applyFont="1" applyFill="1"/>
    <xf numFmtId="0" fontId="22" fillId="4" borderId="0" xfId="0" applyNumberFormat="1" applyFont="1" applyFill="1" applyAlignment="1">
      <alignment horizontal="center"/>
    </xf>
    <xf numFmtId="0" fontId="23" fillId="4" borderId="0" xfId="0" applyNumberFormat="1" applyFont="1" applyFill="1"/>
    <xf numFmtId="0" fontId="23" fillId="4" borderId="0" xfId="0" applyNumberFormat="1" applyFont="1" applyFill="1" applyAlignment="1">
      <alignment horizontal="left"/>
    </xf>
    <xf numFmtId="166" fontId="23" fillId="4" borderId="0" xfId="1" applyNumberFormat="1" applyFont="1" applyFill="1" applyAlignment="1">
      <alignment horizontal="left"/>
    </xf>
    <xf numFmtId="0" fontId="23" fillId="4" borderId="0" xfId="0" applyNumberFormat="1" applyFont="1" applyFill="1" applyAlignment="1">
      <alignment horizontal="center"/>
    </xf>
    <xf numFmtId="0" fontId="24" fillId="4" borderId="0" xfId="0" applyNumberFormat="1" applyFont="1" applyFill="1"/>
    <xf numFmtId="0" fontId="24" fillId="4" borderId="0" xfId="0" applyNumberFormat="1" applyFont="1" applyFill="1" applyAlignment="1">
      <alignment horizontal="center"/>
    </xf>
    <xf numFmtId="37" fontId="24" fillId="4" borderId="0" xfId="0" applyNumberFormat="1" applyFont="1" applyFill="1"/>
    <xf numFmtId="37" fontId="24" fillId="4" borderId="0" xfId="0" applyNumberFormat="1" applyFont="1" applyFill="1" applyAlignment="1">
      <alignment horizontal="left"/>
    </xf>
    <xf numFmtId="0" fontId="25" fillId="4" borderId="0" xfId="0" applyNumberFormat="1" applyFont="1" applyFill="1"/>
    <xf numFmtId="0" fontId="26" fillId="4" borderId="0" xfId="0" applyNumberFormat="1" applyFont="1" applyFill="1" applyBorder="1"/>
    <xf numFmtId="0" fontId="26" fillId="4" borderId="0" xfId="0" applyNumberFormat="1" applyFont="1" applyFill="1"/>
    <xf numFmtId="0" fontId="56" fillId="4" borderId="0" xfId="0" applyNumberFormat="1" applyFont="1" applyFill="1"/>
    <xf numFmtId="0" fontId="57" fillId="4" borderId="0" xfId="0" applyNumberFormat="1" applyFont="1" applyFill="1"/>
    <xf numFmtId="0" fontId="57" fillId="4" borderId="0" xfId="0" applyNumberFormat="1" applyFont="1" applyFill="1" applyAlignment="1">
      <alignment horizontal="left"/>
    </xf>
    <xf numFmtId="166" fontId="57" fillId="4" borderId="0" xfId="1" applyNumberFormat="1" applyFont="1" applyFill="1" applyAlignment="1">
      <alignment horizontal="left"/>
    </xf>
    <xf numFmtId="0" fontId="57" fillId="4" borderId="0" xfId="0" applyNumberFormat="1" applyFont="1" applyFill="1" applyAlignment="1">
      <alignment horizontal="center"/>
    </xf>
    <xf numFmtId="0" fontId="58" fillId="4" borderId="0" xfId="0" applyNumberFormat="1" applyFont="1" applyFill="1"/>
    <xf numFmtId="0" fontId="58" fillId="4" borderId="0" xfId="0" applyNumberFormat="1" applyFont="1" applyFill="1" applyAlignment="1">
      <alignment horizontal="center"/>
    </xf>
    <xf numFmtId="37" fontId="58" fillId="4" borderId="0" xfId="0" applyNumberFormat="1" applyFont="1" applyFill="1"/>
    <xf numFmtId="37" fontId="58" fillId="4" borderId="0" xfId="0" applyNumberFormat="1" applyFont="1" applyFill="1" applyAlignment="1">
      <alignment horizontal="left"/>
    </xf>
    <xf numFmtId="3" fontId="59" fillId="4" borderId="0" xfId="0" applyNumberFormat="1" applyFont="1" applyFill="1" applyBorder="1"/>
    <xf numFmtId="0" fontId="56" fillId="4" borderId="0" xfId="0" applyNumberFormat="1" applyFont="1" applyFill="1" applyBorder="1"/>
    <xf numFmtId="0" fontId="28" fillId="4" borderId="0" xfId="0" applyNumberFormat="1" applyFont="1" applyFill="1"/>
    <xf numFmtId="0" fontId="30" fillId="4" borderId="0" xfId="0" applyNumberFormat="1" applyFont="1" applyFill="1"/>
    <xf numFmtId="0" fontId="30" fillId="4" borderId="0" xfId="0" applyNumberFormat="1" applyFont="1" applyFill="1" applyAlignment="1">
      <alignment horizontal="left"/>
    </xf>
    <xf numFmtId="166" fontId="30" fillId="4" borderId="0" xfId="1" applyNumberFormat="1" applyFont="1" applyFill="1" applyAlignment="1">
      <alignment horizontal="left"/>
    </xf>
    <xf numFmtId="0" fontId="30" fillId="4" borderId="0" xfId="0" applyNumberFormat="1" applyFont="1" applyFill="1" applyAlignment="1">
      <alignment horizontal="center"/>
    </xf>
    <xf numFmtId="0" fontId="31" fillId="4" borderId="0" xfId="0" applyNumberFormat="1" applyFont="1" applyFill="1"/>
    <xf numFmtId="0" fontId="31" fillId="4" borderId="0" xfId="0" applyNumberFormat="1" applyFont="1" applyFill="1" applyAlignment="1">
      <alignment horizontal="center"/>
    </xf>
    <xf numFmtId="37" fontId="31" fillId="4" borderId="0" xfId="0" applyNumberFormat="1" applyFont="1" applyFill="1"/>
    <xf numFmtId="37" fontId="31" fillId="4" borderId="0" xfId="0" applyNumberFormat="1" applyFont="1" applyFill="1" applyAlignment="1">
      <alignment horizontal="left"/>
    </xf>
    <xf numFmtId="3" fontId="29" fillId="4" borderId="0" xfId="0" applyNumberFormat="1" applyFont="1" applyFill="1" applyBorder="1"/>
    <xf numFmtId="0" fontId="28" fillId="4" borderId="0" xfId="0" applyNumberFormat="1" applyFont="1" applyFill="1" applyBorder="1"/>
    <xf numFmtId="0" fontId="22" fillId="4" borderId="0" xfId="0" applyNumberFormat="1" applyFont="1" applyFill="1" applyAlignment="1">
      <alignment horizontal="left"/>
    </xf>
    <xf numFmtId="3" fontId="25" fillId="4" borderId="0" xfId="0" applyNumberFormat="1" applyFont="1" applyFill="1" applyBorder="1"/>
    <xf numFmtId="0" fontId="22" fillId="4" borderId="0" xfId="0" applyNumberFormat="1" applyFont="1" applyFill="1" applyBorder="1"/>
    <xf numFmtId="0" fontId="32" fillId="4" borderId="0" xfId="0" applyNumberFormat="1" applyFont="1" applyFill="1"/>
    <xf numFmtId="0" fontId="33" fillId="4" borderId="0" xfId="0" applyNumberFormat="1" applyFont="1" applyFill="1"/>
    <xf numFmtId="0" fontId="33" fillId="4" borderId="0" xfId="0" applyNumberFormat="1" applyFont="1" applyFill="1" applyAlignment="1">
      <alignment horizontal="left"/>
    </xf>
    <xf numFmtId="166" fontId="33" fillId="4" borderId="0" xfId="1" applyNumberFormat="1" applyFont="1" applyFill="1" applyAlignment="1">
      <alignment horizontal="left"/>
    </xf>
    <xf numFmtId="0" fontId="33" fillId="4" borderId="0" xfId="0" applyNumberFormat="1" applyFont="1" applyFill="1" applyAlignment="1">
      <alignment horizontal="center"/>
    </xf>
    <xf numFmtId="0" fontId="32" fillId="4" borderId="0" xfId="0" applyNumberFormat="1" applyFont="1" applyFill="1" applyAlignment="1">
      <alignment horizontal="center"/>
    </xf>
    <xf numFmtId="0" fontId="32" fillId="4" borderId="0" xfId="0" applyNumberFormat="1" applyFont="1" applyFill="1" applyAlignment="1">
      <alignment horizontal="left"/>
    </xf>
    <xf numFmtId="3" fontId="34" fillId="4" borderId="0" xfId="0" applyNumberFormat="1" applyFont="1" applyFill="1" applyBorder="1"/>
    <xf numFmtId="0" fontId="32" fillId="4" borderId="0" xfId="0" applyNumberFormat="1" applyFont="1" applyFill="1" applyBorder="1"/>
    <xf numFmtId="166" fontId="33" fillId="0" borderId="0" xfId="1" applyNumberFormat="1" applyFont="1" applyFill="1" applyAlignment="1">
      <alignment horizontal="left"/>
    </xf>
    <xf numFmtId="0" fontId="32" fillId="5" borderId="0" xfId="0" applyNumberFormat="1" applyFont="1" applyFill="1"/>
    <xf numFmtId="0" fontId="32" fillId="6" borderId="0" xfId="0" applyNumberFormat="1" applyFont="1" applyFill="1"/>
    <xf numFmtId="166" fontId="36" fillId="0" borderId="0" xfId="1" applyNumberFormat="1" applyFont="1" applyFill="1" applyAlignment="1">
      <alignment horizontal="left"/>
    </xf>
    <xf numFmtId="0" fontId="35" fillId="5" borderId="0" xfId="0" applyNumberFormat="1" applyFont="1" applyFill="1"/>
    <xf numFmtId="0" fontId="35" fillId="6" borderId="0" xfId="0" applyNumberFormat="1" applyFont="1" applyFill="1"/>
    <xf numFmtId="0" fontId="17" fillId="0" borderId="0" xfId="2" applyFont="1" applyAlignment="1" applyProtection="1">
      <alignment wrapText="1"/>
    </xf>
    <xf numFmtId="0" fontId="2" fillId="0" borderId="0" xfId="0" applyFont="1" applyAlignment="1">
      <alignment vertical="center"/>
    </xf>
    <xf numFmtId="0" fontId="61" fillId="0" borderId="0" xfId="0" applyFont="1" applyAlignment="1">
      <alignment horizontal="left" vertical="center"/>
    </xf>
    <xf numFmtId="0" fontId="47" fillId="0" borderId="0" xfId="0" applyFont="1" applyAlignment="1">
      <alignment vertical="center" wrapText="1"/>
    </xf>
    <xf numFmtId="0" fontId="64" fillId="0" borderId="0" xfId="2" applyFont="1" applyAlignment="1" applyProtection="1">
      <alignment vertical="center"/>
    </xf>
    <xf numFmtId="0" fontId="64" fillId="0" borderId="0" xfId="0" applyFont="1"/>
    <xf numFmtId="0" fontId="64" fillId="0" borderId="0" xfId="2" applyFont="1" applyAlignment="1" applyProtection="1">
      <alignment vertical="center" wrapText="1"/>
    </xf>
    <xf numFmtId="0" fontId="64" fillId="0" borderId="0" xfId="0" applyFont="1" applyAlignment="1">
      <alignment vertical="center" wrapText="1"/>
    </xf>
    <xf numFmtId="0" fontId="64" fillId="0" borderId="0" xfId="2" applyFont="1" applyAlignment="1" applyProtection="1">
      <alignment vertical="top" wrapText="1"/>
    </xf>
    <xf numFmtId="0" fontId="64" fillId="0" borderId="0" xfId="0" applyFont="1" applyAlignment="1">
      <alignment vertical="top"/>
    </xf>
    <xf numFmtId="0" fontId="64" fillId="0" borderId="0" xfId="0" applyFont="1" applyAlignment="1">
      <alignment vertical="top" wrapText="1"/>
    </xf>
    <xf numFmtId="166" fontId="6" fillId="0" borderId="2" xfId="0" applyNumberFormat="1" applyFont="1" applyFill="1" applyBorder="1" applyAlignment="1">
      <alignment horizontal="center"/>
    </xf>
    <xf numFmtId="166" fontId="6" fillId="0" borderId="1" xfId="0" applyNumberFormat="1" applyFont="1" applyFill="1" applyBorder="1" applyAlignment="1">
      <alignment horizontal="center"/>
    </xf>
    <xf numFmtId="166" fontId="6" fillId="0" borderId="4" xfId="0" applyNumberFormat="1" applyFont="1" applyFill="1" applyBorder="1" applyAlignment="1">
      <alignment horizontal="center"/>
    </xf>
    <xf numFmtId="166" fontId="6" fillId="7" borderId="1" xfId="0" applyNumberFormat="1" applyFont="1" applyFill="1" applyBorder="1" applyAlignment="1">
      <alignment horizontal="center"/>
    </xf>
    <xf numFmtId="166" fontId="6" fillId="7" borderId="2" xfId="0" applyNumberFormat="1" applyFont="1" applyFill="1" applyBorder="1" applyAlignment="1">
      <alignment horizontal="center"/>
    </xf>
    <xf numFmtId="166" fontId="6" fillId="7" borderId="4" xfId="0" applyNumberFormat="1" applyFont="1" applyFill="1" applyBorder="1" applyAlignment="1">
      <alignment horizontal="center"/>
    </xf>
    <xf numFmtId="0" fontId="63" fillId="4" borderId="0" xfId="0" applyNumberFormat="1" applyFont="1" applyFill="1" applyAlignment="1"/>
    <xf numFmtId="0" fontId="70" fillId="4" borderId="0" xfId="0" applyNumberFormat="1" applyFont="1" applyFill="1" applyAlignment="1"/>
    <xf numFmtId="0" fontId="71" fillId="4" borderId="0" xfId="0" applyNumberFormat="1" applyFont="1" applyFill="1" applyAlignment="1"/>
    <xf numFmtId="0" fontId="73" fillId="4" borderId="0" xfId="0" applyNumberFormat="1" applyFont="1" applyFill="1" applyAlignment="1"/>
    <xf numFmtId="0" fontId="74" fillId="4" borderId="0" xfId="0" applyNumberFormat="1" applyFont="1" applyFill="1" applyAlignment="1"/>
    <xf numFmtId="0" fontId="75" fillId="4" borderId="0" xfId="0" applyNumberFormat="1" applyFont="1" applyFill="1" applyAlignment="1"/>
    <xf numFmtId="0" fontId="0" fillId="0" borderId="6" xfId="0" applyFont="1" applyBorder="1"/>
    <xf numFmtId="0" fontId="0" fillId="0" borderId="0" xfId="0" applyFont="1" applyBorder="1"/>
    <xf numFmtId="0" fontId="0" fillId="0" borderId="0" xfId="0" applyFont="1" applyBorder="1" applyAlignment="1">
      <alignment horizontal="center"/>
    </xf>
    <xf numFmtId="0" fontId="0" fillId="0" borderId="8" xfId="0" applyFont="1" applyBorder="1" applyAlignment="1">
      <alignment horizontal="center"/>
    </xf>
    <xf numFmtId="17" fontId="0" fillId="0" borderId="8" xfId="0" applyNumberFormat="1" applyFont="1" applyBorder="1" applyAlignment="1">
      <alignment horizontal="center"/>
    </xf>
    <xf numFmtId="0" fontId="76" fillId="0" borderId="0" xfId="0" applyFont="1" applyFill="1" applyBorder="1" applyAlignment="1">
      <alignment horizontal="center" vertical="top" wrapText="1"/>
    </xf>
    <xf numFmtId="0" fontId="76" fillId="0" borderId="0" xfId="0" applyFont="1" applyFill="1" applyBorder="1" applyAlignment="1">
      <alignment horizontal="center" wrapText="1"/>
    </xf>
    <xf numFmtId="0" fontId="77" fillId="0" borderId="0" xfId="0" applyFont="1" applyFill="1" applyBorder="1" applyAlignment="1">
      <alignment horizontal="center" wrapText="1"/>
    </xf>
    <xf numFmtId="0" fontId="77" fillId="0" borderId="0" xfId="0" applyFont="1" applyFill="1" applyBorder="1" applyAlignment="1">
      <alignment horizontal="center" vertical="top" wrapText="1"/>
    </xf>
    <xf numFmtId="0" fontId="80" fillId="0" borderId="0" xfId="0" applyFont="1" applyFill="1" applyBorder="1" applyAlignment="1">
      <alignment wrapText="1"/>
    </xf>
    <xf numFmtId="0" fontId="82" fillId="0" borderId="0" xfId="0" applyFont="1" applyAlignment="1">
      <alignment horizontal="left" vertical="center" wrapText="1"/>
    </xf>
    <xf numFmtId="0" fontId="82" fillId="0" borderId="0" xfId="0" applyFont="1" applyAlignment="1">
      <alignment horizontal="left" vertical="center"/>
    </xf>
    <xf numFmtId="165" fontId="84" fillId="0" borderId="0" xfId="0" applyNumberFormat="1" applyFont="1"/>
    <xf numFmtId="165" fontId="85" fillId="0" borderId="0" xfId="0" applyNumberFormat="1" applyFont="1"/>
    <xf numFmtId="0" fontId="84" fillId="0" borderId="0" xfId="0" applyFont="1"/>
    <xf numFmtId="0" fontId="83" fillId="9" borderId="1" xfId="0" applyFont="1" applyFill="1" applyBorder="1" applyAlignment="1">
      <alignment horizontal="center"/>
    </xf>
    <xf numFmtId="0" fontId="83" fillId="9" borderId="1" xfId="0" applyFont="1" applyFill="1" applyBorder="1" applyAlignment="1">
      <alignment horizontal="left"/>
    </xf>
    <xf numFmtId="0" fontId="83" fillId="9" borderId="2" xfId="0" applyNumberFormat="1" applyFont="1" applyFill="1" applyBorder="1" applyAlignment="1">
      <alignment horizontal="center"/>
    </xf>
    <xf numFmtId="0" fontId="83" fillId="9" borderId="4" xfId="0" applyNumberFormat="1" applyFont="1" applyFill="1" applyBorder="1" applyAlignment="1">
      <alignment horizontal="center"/>
    </xf>
    <xf numFmtId="0" fontId="83" fillId="9" borderId="2" xfId="0" applyFont="1" applyFill="1" applyBorder="1" applyAlignment="1">
      <alignment horizontal="center"/>
    </xf>
    <xf numFmtId="0" fontId="83" fillId="9" borderId="4" xfId="0" applyFont="1" applyFill="1" applyBorder="1" applyAlignment="1">
      <alignment horizontal="center"/>
    </xf>
    <xf numFmtId="0" fontId="81" fillId="9" borderId="1" xfId="0" applyFont="1" applyFill="1" applyBorder="1" applyAlignment="1">
      <alignment horizontal="center" wrapText="1"/>
    </xf>
    <xf numFmtId="0" fontId="81" fillId="9" borderId="2" xfId="0" applyFont="1" applyFill="1" applyBorder="1" applyAlignment="1">
      <alignment horizontal="center" wrapText="1"/>
    </xf>
    <xf numFmtId="0" fontId="81" fillId="9" borderId="4" xfId="0" applyFont="1" applyFill="1" applyBorder="1" applyAlignment="1">
      <alignment horizontal="center" wrapText="1"/>
    </xf>
    <xf numFmtId="0" fontId="81" fillId="0" borderId="4" xfId="0" applyFont="1" applyBorder="1" applyAlignment="1">
      <alignment horizontal="center"/>
    </xf>
    <xf numFmtId="166" fontId="5" fillId="6" borderId="9" xfId="1" applyNumberFormat="1" applyFont="1" applyFill="1" applyBorder="1" applyAlignment="1">
      <alignment horizontal="center"/>
    </xf>
    <xf numFmtId="166" fontId="5" fillId="6" borderId="10" xfId="1" applyNumberFormat="1" applyFont="1" applyFill="1" applyBorder="1" applyAlignment="1">
      <alignment horizontal="center"/>
    </xf>
    <xf numFmtId="166" fontId="5" fillId="6" borderId="11" xfId="1" applyNumberFormat="1" applyFont="1" applyFill="1" applyBorder="1" applyAlignment="1">
      <alignment horizontal="center"/>
    </xf>
    <xf numFmtId="0" fontId="10" fillId="0" borderId="7" xfId="0" applyNumberFormat="1" applyFont="1" applyFill="1" applyBorder="1" applyAlignment="1">
      <alignment horizontal="left" wrapText="1"/>
    </xf>
    <xf numFmtId="166" fontId="5" fillId="5" borderId="13" xfId="1" applyNumberFormat="1" applyFont="1" applyFill="1" applyBorder="1" applyAlignment="1">
      <alignment horizontal="center"/>
    </xf>
    <xf numFmtId="166" fontId="5" fillId="5" borderId="12" xfId="1" applyNumberFormat="1" applyFont="1" applyFill="1" applyBorder="1" applyAlignment="1">
      <alignment horizontal="center"/>
    </xf>
    <xf numFmtId="166" fontId="5" fillId="5" borderId="15" xfId="1" applyNumberFormat="1" applyFont="1" applyFill="1" applyBorder="1" applyAlignment="1">
      <alignment horizontal="center"/>
    </xf>
    <xf numFmtId="166" fontId="5" fillId="6" borderId="13" xfId="1" applyNumberFormat="1" applyFont="1" applyFill="1" applyBorder="1" applyAlignment="1">
      <alignment horizontal="center"/>
    </xf>
    <xf numFmtId="166" fontId="5" fillId="6" borderId="12" xfId="1" applyNumberFormat="1" applyFont="1" applyFill="1" applyBorder="1" applyAlignment="1">
      <alignment horizontal="center"/>
    </xf>
    <xf numFmtId="166" fontId="5" fillId="6" borderId="15" xfId="1" applyNumberFormat="1" applyFont="1" applyFill="1" applyBorder="1" applyAlignment="1">
      <alignment horizontal="center"/>
    </xf>
    <xf numFmtId="0" fontId="6" fillId="5" borderId="1" xfId="0" applyNumberFormat="1" applyFont="1" applyFill="1" applyBorder="1" applyAlignment="1">
      <alignment horizontal="center"/>
    </xf>
    <xf numFmtId="0" fontId="6" fillId="5" borderId="4" xfId="0" applyNumberFormat="1" applyFont="1" applyFill="1" applyBorder="1" applyAlignment="1">
      <alignment horizontal="center"/>
    </xf>
    <xf numFmtId="0" fontId="6" fillId="6" borderId="1" xfId="0" applyNumberFormat="1" applyFont="1" applyFill="1" applyBorder="1" applyAlignment="1">
      <alignment horizontal="center"/>
    </xf>
    <xf numFmtId="0" fontId="6" fillId="6" borderId="4" xfId="0" applyNumberFormat="1" applyFont="1" applyFill="1" applyBorder="1" applyAlignment="1">
      <alignment horizontal="center"/>
    </xf>
    <xf numFmtId="0" fontId="62" fillId="4" borderId="0" xfId="0" applyNumberFormat="1" applyFont="1" applyFill="1" applyBorder="1" applyAlignment="1">
      <alignment horizontal="left"/>
    </xf>
    <xf numFmtId="0" fontId="10" fillId="4" borderId="0" xfId="0" applyNumberFormat="1" applyFont="1" applyFill="1"/>
    <xf numFmtId="0" fontId="86" fillId="0" borderId="0" xfId="0" applyFont="1" applyAlignment="1">
      <alignment wrapText="1"/>
    </xf>
    <xf numFmtId="0" fontId="87" fillId="0" borderId="6" xfId="0" applyFont="1" applyBorder="1"/>
    <xf numFmtId="0" fontId="87" fillId="0" borderId="0" xfId="0" applyFont="1" applyBorder="1" applyAlignment="1">
      <alignment horizontal="center"/>
    </xf>
    <xf numFmtId="0" fontId="87" fillId="0" borderId="0" xfId="0" applyFont="1" applyBorder="1"/>
    <xf numFmtId="17" fontId="87" fillId="0" borderId="8" xfId="0" applyNumberFormat="1" applyFont="1" applyBorder="1" applyAlignment="1">
      <alignment horizontal="center"/>
    </xf>
    <xf numFmtId="0" fontId="87" fillId="0" borderId="0" xfId="0" applyFont="1"/>
    <xf numFmtId="0" fontId="88" fillId="0" borderId="0" xfId="0" applyFont="1" applyFill="1" applyBorder="1" applyAlignment="1">
      <alignment wrapText="1"/>
    </xf>
    <xf numFmtId="0" fontId="89" fillId="0" borderId="0" xfId="0" applyFont="1" applyFill="1" applyBorder="1" applyAlignment="1">
      <alignment wrapText="1"/>
    </xf>
    <xf numFmtId="0" fontId="90" fillId="0" borderId="0" xfId="0" applyFont="1" applyFill="1" applyBorder="1" applyAlignment="1">
      <alignment wrapText="1"/>
    </xf>
    <xf numFmtId="0" fontId="3" fillId="4" borderId="0" xfId="0" applyNumberFormat="1" applyFont="1" applyFill="1" applyBorder="1" applyAlignment="1">
      <alignment horizontal="center" vertical="center"/>
    </xf>
    <xf numFmtId="0" fontId="32" fillId="4" borderId="0" xfId="0" applyNumberFormat="1" applyFont="1" applyFill="1" applyAlignment="1">
      <alignment wrapText="1"/>
    </xf>
    <xf numFmtId="0" fontId="0" fillId="0" borderId="6" xfId="0" applyNumberFormat="1" applyFont="1" applyFill="1" applyBorder="1" applyAlignment="1">
      <alignment wrapText="1"/>
    </xf>
    <xf numFmtId="0" fontId="0" fillId="0" borderId="0" xfId="0" applyNumberFormat="1" applyFont="1" applyFill="1" applyBorder="1" applyAlignment="1">
      <alignment horizontal="center"/>
    </xf>
    <xf numFmtId="0" fontId="0" fillId="0" borderId="7" xfId="0" applyNumberFormat="1" applyFont="1" applyFill="1" applyBorder="1" applyAlignment="1">
      <alignment horizontal="center"/>
    </xf>
    <xf numFmtId="0" fontId="0" fillId="0" borderId="8" xfId="0" applyNumberFormat="1" applyFont="1" applyFill="1" applyBorder="1" applyAlignment="1">
      <alignment horizontal="left"/>
    </xf>
    <xf numFmtId="166" fontId="0" fillId="0" borderId="0" xfId="1" applyNumberFormat="1" applyFont="1" applyFill="1" applyBorder="1" applyAlignment="1">
      <alignment horizontal="left"/>
    </xf>
    <xf numFmtId="49" fontId="0" fillId="0" borderId="0" xfId="0" applyNumberFormat="1" applyFont="1" applyFill="1" applyBorder="1" applyAlignment="1">
      <alignment horizontal="center"/>
    </xf>
    <xf numFmtId="0" fontId="0" fillId="7" borderId="0" xfId="0" applyNumberFormat="1" applyFont="1" applyFill="1" applyBorder="1" applyAlignment="1">
      <alignment horizontal="center"/>
    </xf>
    <xf numFmtId="0" fontId="0" fillId="0" borderId="7" xfId="0" applyNumberFormat="1" applyFont="1" applyFill="1" applyBorder="1" applyAlignment="1">
      <alignment horizontal="left"/>
    </xf>
    <xf numFmtId="0" fontId="0" fillId="0" borderId="0" xfId="0" applyNumberFormat="1" applyFont="1" applyFill="1" applyBorder="1" applyAlignment="1">
      <alignment horizontal="left"/>
    </xf>
    <xf numFmtId="37" fontId="6" fillId="0" borderId="6" xfId="0" applyNumberFormat="1" applyFont="1" applyFill="1" applyBorder="1" applyAlignment="1"/>
    <xf numFmtId="37" fontId="6" fillId="0" borderId="8" xfId="0" applyNumberFormat="1" applyFont="1" applyFill="1" applyBorder="1" applyAlignment="1"/>
    <xf numFmtId="37" fontId="6" fillId="0" borderId="0" xfId="0" applyNumberFormat="1" applyFont="1" applyFill="1" applyBorder="1" applyAlignment="1"/>
    <xf numFmtId="0" fontId="0" fillId="0" borderId="6" xfId="0" applyNumberFormat="1" applyFont="1" applyFill="1" applyBorder="1"/>
    <xf numFmtId="0" fontId="0" fillId="0" borderId="0" xfId="0" applyNumberFormat="1" applyFont="1" applyFill="1" applyBorder="1"/>
    <xf numFmtId="0" fontId="0" fillId="0" borderId="6" xfId="0" applyNumberFormat="1" applyFont="1" applyFill="1" applyBorder="1" applyAlignment="1">
      <alignment horizontal="center"/>
    </xf>
    <xf numFmtId="0" fontId="0" fillId="0" borderId="8" xfId="0" applyNumberFormat="1" applyFont="1" applyFill="1" applyBorder="1" applyAlignment="1">
      <alignment horizontal="center"/>
    </xf>
    <xf numFmtId="37" fontId="11" fillId="0" borderId="6" xfId="0" applyNumberFormat="1" applyFont="1" applyFill="1" applyBorder="1" applyAlignment="1"/>
    <xf numFmtId="37" fontId="11" fillId="0" borderId="8" xfId="0" applyNumberFormat="1" applyFont="1" applyFill="1" applyBorder="1" applyAlignment="1"/>
    <xf numFmtId="37" fontId="11" fillId="0" borderId="0" xfId="0" applyNumberFormat="1" applyFont="1" applyFill="1" applyBorder="1" applyAlignment="1"/>
    <xf numFmtId="0" fontId="5" fillId="7" borderId="0" xfId="0" applyNumberFormat="1" applyFont="1" applyFill="1" applyBorder="1" applyAlignment="1">
      <alignment horizontal="center"/>
    </xf>
    <xf numFmtId="37" fontId="6" fillId="0" borderId="7" xfId="0" applyNumberFormat="1" applyFont="1" applyFill="1" applyBorder="1" applyAlignment="1"/>
    <xf numFmtId="0" fontId="47"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48" fillId="0" borderId="0" xfId="0" applyFont="1" applyFill="1" applyAlignment="1">
      <alignment vertical="top" wrapText="1"/>
    </xf>
    <xf numFmtId="0" fontId="49" fillId="0" borderId="0" xfId="0" applyFont="1" applyAlignment="1">
      <alignment vertical="top" wrapText="1"/>
    </xf>
    <xf numFmtId="0" fontId="2" fillId="0" borderId="0" xfId="0" applyFont="1" applyAlignment="1">
      <alignment vertical="top" wrapText="1"/>
    </xf>
    <xf numFmtId="0" fontId="3" fillId="4" borderId="0" xfId="0" applyNumberFormat="1" applyFont="1" applyFill="1" applyBorder="1" applyAlignment="1">
      <alignment horizontal="center" vertical="center"/>
    </xf>
    <xf numFmtId="0" fontId="50" fillId="5" borderId="12" xfId="0" applyNumberFormat="1" applyFont="1" applyFill="1" applyBorder="1" applyAlignment="1">
      <alignment horizontal="center"/>
    </xf>
    <xf numFmtId="0" fontId="50" fillId="6" borderId="0" xfId="0" applyNumberFormat="1" applyFont="1" applyFill="1" applyAlignment="1">
      <alignment horizontal="center"/>
    </xf>
    <xf numFmtId="0" fontId="50" fillId="0" borderId="0" xfId="0" applyNumberFormat="1" applyFont="1" applyFill="1" applyAlignment="1">
      <alignment horizontal="center"/>
    </xf>
    <xf numFmtId="0" fontId="3" fillId="5" borderId="1" xfId="0" applyNumberFormat="1" applyFont="1" applyFill="1" applyBorder="1" applyAlignment="1">
      <alignment horizontal="center" vertical="center"/>
    </xf>
    <xf numFmtId="0" fontId="3" fillId="5" borderId="2" xfId="0" applyNumberFormat="1" applyFont="1" applyFill="1" applyBorder="1" applyAlignment="1">
      <alignment horizontal="center" vertical="center"/>
    </xf>
    <xf numFmtId="0" fontId="3" fillId="5" borderId="4"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xf>
    <xf numFmtId="0" fontId="60" fillId="0" borderId="1" xfId="0" applyNumberFormat="1" applyFont="1" applyFill="1" applyBorder="1" applyAlignment="1">
      <alignment horizontal="center" vertical="center"/>
    </xf>
    <xf numFmtId="0" fontId="60" fillId="0" borderId="2" xfId="0" applyNumberFormat="1" applyFont="1" applyFill="1" applyBorder="1" applyAlignment="1">
      <alignment horizontal="center" vertical="center"/>
    </xf>
    <xf numFmtId="0" fontId="60" fillId="0" borderId="4" xfId="0" applyNumberFormat="1" applyFont="1" applyFill="1" applyBorder="1" applyAlignment="1">
      <alignment horizontal="center" vertical="center"/>
    </xf>
    <xf numFmtId="0" fontId="65" fillId="0" borderId="1" xfId="0" applyNumberFormat="1" applyFont="1" applyFill="1" applyBorder="1" applyAlignment="1">
      <alignment horizontal="center" vertical="center" wrapText="1"/>
    </xf>
    <xf numFmtId="0" fontId="65" fillId="0" borderId="2" xfId="0" applyNumberFormat="1" applyFont="1" applyFill="1" applyBorder="1" applyAlignment="1">
      <alignment horizontal="center" vertical="center"/>
    </xf>
    <xf numFmtId="0" fontId="65" fillId="0" borderId="4" xfId="0" applyNumberFormat="1" applyFont="1" applyFill="1" applyBorder="1" applyAlignment="1">
      <alignment horizontal="center" vertical="center"/>
    </xf>
    <xf numFmtId="0" fontId="60" fillId="7" borderId="1" xfId="0" applyNumberFormat="1" applyFont="1" applyFill="1" applyBorder="1" applyAlignment="1">
      <alignment horizontal="center" vertical="center" wrapText="1"/>
    </xf>
    <xf numFmtId="0" fontId="60" fillId="7" borderId="2" xfId="0" applyNumberFormat="1" applyFont="1" applyFill="1" applyBorder="1" applyAlignment="1">
      <alignment horizontal="center" vertical="center"/>
    </xf>
    <xf numFmtId="0" fontId="60" fillId="7" borderId="4" xfId="0" applyNumberFormat="1" applyFont="1" applyFill="1" applyBorder="1" applyAlignment="1">
      <alignment horizontal="center" vertical="center"/>
    </xf>
    <xf numFmtId="0" fontId="60" fillId="0" borderId="1" xfId="0" applyNumberFormat="1" applyFont="1" applyFill="1" applyBorder="1" applyAlignment="1">
      <alignment horizontal="center" vertical="center" wrapText="1"/>
    </xf>
    <xf numFmtId="0" fontId="81" fillId="0" borderId="1" xfId="0" applyFont="1" applyFill="1" applyBorder="1" applyAlignment="1">
      <alignment horizontal="center"/>
    </xf>
    <xf numFmtId="0" fontId="81" fillId="0" borderId="2" xfId="0" applyFont="1" applyFill="1" applyBorder="1" applyAlignment="1">
      <alignment horizontal="center"/>
    </xf>
    <xf numFmtId="166" fontId="10" fillId="8" borderId="6" xfId="1" applyNumberFormat="1" applyFont="1" applyFill="1" applyBorder="1" applyAlignment="1">
      <alignment horizontal="center"/>
    </xf>
    <xf numFmtId="166" fontId="10" fillId="8" borderId="0" xfId="1" applyNumberFormat="1" applyFont="1" applyFill="1" applyBorder="1" applyAlignment="1">
      <alignment horizontal="center"/>
    </xf>
    <xf numFmtId="166" fontId="10" fillId="8" borderId="8" xfId="1" applyNumberFormat="1" applyFont="1" applyFill="1" applyBorder="1" applyAlignment="1">
      <alignment horizontal="center"/>
    </xf>
  </cellXfs>
  <cellStyles count="10">
    <cellStyle name="Comma" xfId="1" builtinId="3"/>
    <cellStyle name="Comma 2" xfId="3"/>
    <cellStyle name="Hyperlink" xfId="2" builtinId="8"/>
    <cellStyle name="Normal" xfId="0" builtinId="0"/>
    <cellStyle name="Normal 2" xfId="4"/>
    <cellStyle name="Normal 3" xfId="5"/>
    <cellStyle name="Normal 4" xfId="6"/>
    <cellStyle name="Normal 5" xfId="7"/>
    <cellStyle name="Normal 6" xfId="8"/>
    <cellStyle name="Normal 7" xfId="9"/>
  </cellStyles>
  <dxfs count="0"/>
  <tableStyles count="0" defaultTableStyle="TableStyleMedium2" defaultPivotStyle="PivotStyleLight16"/>
  <colors>
    <mruColors>
      <color rgb="FF324481"/>
      <color rgb="FFAED2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paww.com/" TargetMode="External"/><Relationship Id="rId2" Type="http://schemas.openxmlformats.org/officeDocument/2006/relationships/hyperlink" Target="http://www.auditedmedia.com/" TargetMode="External"/><Relationship Id="rId1" Type="http://schemas.openxmlformats.org/officeDocument/2006/relationships/hyperlink" Target="mailto:klevson@newspaperscanada.ca" TargetMode="External"/><Relationship Id="rId5" Type="http://schemas.openxmlformats.org/officeDocument/2006/relationships/printerSettings" Target="../printerSettings/printerSettings1.bin"/><Relationship Id="rId4" Type="http://schemas.openxmlformats.org/officeDocument/2006/relationships/hyperlink" Target="http://www.circulationaudit.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metronews.ca/london" TargetMode="External"/><Relationship Id="rId13" Type="http://schemas.openxmlformats.org/officeDocument/2006/relationships/hyperlink" Target="http://www.journalmetro.com/" TargetMode="External"/><Relationship Id="rId18" Type="http://schemas.openxmlformats.org/officeDocument/2006/relationships/hyperlink" Target="http://www.bclocalnews.com/daily/victoria/" TargetMode="External"/><Relationship Id="rId3" Type="http://schemas.openxmlformats.org/officeDocument/2006/relationships/hyperlink" Target="http://24hrs.ca/" TargetMode="External"/><Relationship Id="rId21" Type="http://schemas.openxmlformats.org/officeDocument/2006/relationships/hyperlink" Target="http://www.qmisales.ca/" TargetMode="External"/><Relationship Id="rId7" Type="http://schemas.openxmlformats.org/officeDocument/2006/relationships/hyperlink" Target="http://www.metronews.ca/edmonton" TargetMode="External"/><Relationship Id="rId12" Type="http://schemas.openxmlformats.org/officeDocument/2006/relationships/hyperlink" Target="http://24hrs.ca/" TargetMode="External"/><Relationship Id="rId17" Type="http://schemas.openxmlformats.org/officeDocument/2006/relationships/hyperlink" Target="http://www.bclocalnews.com/daily/victoria" TargetMode="External"/><Relationship Id="rId25" Type="http://schemas.openxmlformats.org/officeDocument/2006/relationships/printerSettings" Target="../printerSettings/printerSettings3.bin"/><Relationship Id="rId2" Type="http://schemas.openxmlformats.org/officeDocument/2006/relationships/hyperlink" Target="http://www.theepochtimes.com/" TargetMode="External"/><Relationship Id="rId16" Type="http://schemas.openxmlformats.org/officeDocument/2006/relationships/hyperlink" Target="http://www.bclocalnews.com/daily/chilliwack/" TargetMode="External"/><Relationship Id="rId20" Type="http://schemas.openxmlformats.org/officeDocument/2006/relationships/hyperlink" Target="http://www.qmisales.ca/" TargetMode="External"/><Relationship Id="rId1" Type="http://schemas.openxmlformats.org/officeDocument/2006/relationships/hyperlink" Target="http://www.theepochtimes.com/" TargetMode="External"/><Relationship Id="rId6" Type="http://schemas.openxmlformats.org/officeDocument/2006/relationships/hyperlink" Target="http://www.metronews.ca/calgary" TargetMode="External"/><Relationship Id="rId11" Type="http://schemas.openxmlformats.org/officeDocument/2006/relationships/hyperlink" Target="http://www.metronews.ca/vancouver" TargetMode="External"/><Relationship Id="rId24" Type="http://schemas.openxmlformats.org/officeDocument/2006/relationships/hyperlink" Target="http://tonightnewspaper.com/" TargetMode="External"/><Relationship Id="rId5" Type="http://schemas.openxmlformats.org/officeDocument/2006/relationships/hyperlink" Target="http://www.metronews.ca/winnipeg" TargetMode="External"/><Relationship Id="rId15" Type="http://schemas.openxmlformats.org/officeDocument/2006/relationships/hyperlink" Target="http://www.bclocalnews.com/daily/whiterock/" TargetMode="External"/><Relationship Id="rId23" Type="http://schemas.openxmlformats.org/officeDocument/2006/relationships/hyperlink" Target="http://www.qmisales.ca/" TargetMode="External"/><Relationship Id="rId10" Type="http://schemas.openxmlformats.org/officeDocument/2006/relationships/hyperlink" Target="http://www.metronews.ca/toronto" TargetMode="External"/><Relationship Id="rId19" Type="http://schemas.openxmlformats.org/officeDocument/2006/relationships/hyperlink" Target="http://www.bclocalnews.com/daily/campbellriver/" TargetMode="External"/><Relationship Id="rId4" Type="http://schemas.openxmlformats.org/officeDocument/2006/relationships/hyperlink" Target="http://24hrs.ca/" TargetMode="External"/><Relationship Id="rId9" Type="http://schemas.openxmlformats.org/officeDocument/2006/relationships/hyperlink" Target="http://www.metronews.ca/ottawa" TargetMode="External"/><Relationship Id="rId14" Type="http://schemas.openxmlformats.org/officeDocument/2006/relationships/hyperlink" Target="http://www.metronews.ca/halifax" TargetMode="External"/><Relationship Id="rId22" Type="http://schemas.openxmlformats.org/officeDocument/2006/relationships/hyperlink" Target="http://www.qmisales.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auditedmedia.ca/news/blog/2013/november/faqs-about-the-new-canadian-newspaper-report.aspx" TargetMode="External"/><Relationship Id="rId7" Type="http://schemas.openxmlformats.org/officeDocument/2006/relationships/printerSettings" Target="../printerSettings/printerSettings7.bin"/><Relationship Id="rId2" Type="http://schemas.openxmlformats.org/officeDocument/2006/relationships/hyperlink" Target="http://www.circulationaudit.ca/" TargetMode="External"/><Relationship Id="rId1" Type="http://schemas.openxmlformats.org/officeDocument/2006/relationships/hyperlink" Target="http://www.bpaww.com/" TargetMode="External"/><Relationship Id="rId6" Type="http://schemas.openxmlformats.org/officeDocument/2006/relationships/hyperlink" Target="http://www.auditedmedia.ca/" TargetMode="External"/><Relationship Id="rId5" Type="http://schemas.openxmlformats.org/officeDocument/2006/relationships/hyperlink" Target="http://www.auditedmedia.ca/news/blog/2013/november/faqs-about-the-new-canadian-newspaper-report.aspx" TargetMode="External"/><Relationship Id="rId4" Type="http://schemas.openxmlformats.org/officeDocument/2006/relationships/hyperlink" Target="http://www.auditedmedia.ca/news/blog/2013/september/a-look-at-the-new-qualified-circulation-category-for-canadian-newspape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6"/>
  <sheetViews>
    <sheetView workbookViewId="0">
      <selection activeCell="A5" sqref="A5"/>
    </sheetView>
  </sheetViews>
  <sheetFormatPr defaultRowHeight="15"/>
  <cols>
    <col min="1" max="1" width="126.28515625" style="68" customWidth="1"/>
  </cols>
  <sheetData>
    <row r="1" spans="1:1" ht="23.25">
      <c r="A1" s="370" t="s">
        <v>265</v>
      </c>
    </row>
    <row r="2" spans="1:1" ht="23.25">
      <c r="A2" s="370" t="s">
        <v>357</v>
      </c>
    </row>
    <row r="4" spans="1:1">
      <c r="A4" s="68" t="s">
        <v>261</v>
      </c>
    </row>
    <row r="5" spans="1:1">
      <c r="A5" s="68" t="s">
        <v>269</v>
      </c>
    </row>
    <row r="6" spans="1:1">
      <c r="A6" s="68" t="s">
        <v>355</v>
      </c>
    </row>
    <row r="7" spans="1:1" ht="30">
      <c r="A7" s="68" t="s">
        <v>268</v>
      </c>
    </row>
    <row r="8" spans="1:1" ht="45">
      <c r="A8" s="68" t="s">
        <v>481</v>
      </c>
    </row>
    <row r="10" spans="1:1">
      <c r="A10" s="72" t="s">
        <v>260</v>
      </c>
    </row>
    <row r="11" spans="1:1">
      <c r="A11" s="306" t="s">
        <v>263</v>
      </c>
    </row>
    <row r="12" spans="1:1">
      <c r="A12" s="306" t="s">
        <v>482</v>
      </c>
    </row>
    <row r="13" spans="1:1">
      <c r="A13" s="306" t="s">
        <v>262</v>
      </c>
    </row>
    <row r="14" spans="1:1">
      <c r="A14" s="70" t="s">
        <v>354</v>
      </c>
    </row>
    <row r="16" spans="1:1" ht="45">
      <c r="A16" s="68" t="s">
        <v>356</v>
      </c>
    </row>
    <row r="18" spans="1:1" ht="30">
      <c r="A18" s="68" t="s">
        <v>479</v>
      </c>
    </row>
    <row r="19" spans="1:1" ht="30">
      <c r="A19" s="73" t="s">
        <v>609</v>
      </c>
    </row>
    <row r="20" spans="1:1">
      <c r="A20" s="73" t="s">
        <v>264</v>
      </c>
    </row>
    <row r="21" spans="1:1">
      <c r="A21" s="73" t="s">
        <v>358</v>
      </c>
    </row>
    <row r="23" spans="1:1">
      <c r="A23" s="69" t="s">
        <v>266</v>
      </c>
    </row>
    <row r="24" spans="1:1">
      <c r="A24" s="68" t="s">
        <v>401</v>
      </c>
    </row>
    <row r="25" spans="1:1">
      <c r="A25" s="72" t="s">
        <v>265</v>
      </c>
    </row>
    <row r="26" spans="1:1">
      <c r="A26" s="306" t="s">
        <v>267</v>
      </c>
    </row>
  </sheetData>
  <hyperlinks>
    <hyperlink ref="A26" r:id="rId1"/>
    <hyperlink ref="A11" r:id="rId2"/>
    <hyperlink ref="A12" r:id="rId3" display="2. Canadian Circulation Audits Board (CCAB)"/>
    <hyperlink ref="A13" r:id="rId4"/>
  </hyperlinks>
  <pageMargins left="0.7" right="0.7" top="0.75" bottom="0.75" header="0.3" footer="0.3"/>
  <pageSetup orientation="landscape" horizontalDpi="4294967293" verticalDpi="1200" r:id="rId5"/>
  <headerFooter scaleWithDoc="0">
    <oddFooter>&amp;L&amp;8Source:  Newspapers Canada 
May 2014&amp;R&amp;8&amp;P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zoomScaleNormal="100" zoomScaleSheetLayoutView="100" workbookViewId="0">
      <selection activeCell="A5" sqref="A5"/>
    </sheetView>
  </sheetViews>
  <sheetFormatPr defaultRowHeight="15"/>
  <cols>
    <col min="1" max="1" width="128.28515625" style="72" customWidth="1"/>
    <col min="2" max="16384" width="9.140625" style="71"/>
  </cols>
  <sheetData>
    <row r="1" spans="1:1" ht="23.25">
      <c r="A1" s="370" t="s">
        <v>403</v>
      </c>
    </row>
    <row r="3" spans="1:1" s="403" customFormat="1">
      <c r="A3" s="402" t="s">
        <v>402</v>
      </c>
    </row>
    <row r="4" spans="1:1" s="403" customFormat="1" ht="35.25" customHeight="1">
      <c r="A4" s="404" t="s">
        <v>610</v>
      </c>
    </row>
    <row r="5" spans="1:1" s="403" customFormat="1" ht="81.75" customHeight="1">
      <c r="A5" s="405" t="s">
        <v>617</v>
      </c>
    </row>
    <row r="6" spans="1:1" s="403" customFormat="1" ht="60">
      <c r="A6" s="406" t="s">
        <v>611</v>
      </c>
    </row>
    <row r="7" spans="1:1" s="403" customFormat="1" ht="83.25" customHeight="1">
      <c r="A7" s="407" t="s">
        <v>574</v>
      </c>
    </row>
    <row r="8" spans="1:1" s="403" customFormat="1" ht="102.75" customHeight="1">
      <c r="A8" s="404" t="s">
        <v>407</v>
      </c>
    </row>
    <row r="9" spans="1:1" s="403" customFormat="1" ht="38.25" customHeight="1">
      <c r="A9" s="407" t="s">
        <v>612</v>
      </c>
    </row>
    <row r="10" spans="1:1" s="403" customFormat="1">
      <c r="A10" s="404"/>
    </row>
    <row r="11" spans="1:1" s="403" customFormat="1">
      <c r="A11" s="402" t="s">
        <v>404</v>
      </c>
    </row>
    <row r="12" spans="1:1" s="403" customFormat="1" ht="81" customHeight="1">
      <c r="A12" s="404" t="s">
        <v>613</v>
      </c>
    </row>
    <row r="13" spans="1:1" s="403" customFormat="1" ht="72" customHeight="1">
      <c r="A13" s="404" t="s">
        <v>480</v>
      </c>
    </row>
    <row r="14" spans="1:1" s="403" customFormat="1" ht="75">
      <c r="A14" s="404" t="s">
        <v>614</v>
      </c>
    </row>
    <row r="15" spans="1:1" s="403" customFormat="1">
      <c r="A15" s="404"/>
    </row>
    <row r="16" spans="1:1" s="403" customFormat="1">
      <c r="A16" s="402" t="s">
        <v>405</v>
      </c>
    </row>
    <row r="17" spans="1:1" s="404" customFormat="1" ht="42" customHeight="1">
      <c r="A17" s="404" t="s">
        <v>615</v>
      </c>
    </row>
    <row r="18" spans="1:1" s="404" customFormat="1" ht="45">
      <c r="A18" s="404" t="s">
        <v>616</v>
      </c>
    </row>
    <row r="19" spans="1:1" s="72" customFormat="1" ht="45" customHeight="1">
      <c r="A19" s="72" t="s">
        <v>406</v>
      </c>
    </row>
    <row r="20" spans="1:1" s="72" customFormat="1"/>
    <row r="21" spans="1:1" s="72" customFormat="1" ht="60">
      <c r="A21" s="72" t="s">
        <v>529</v>
      </c>
    </row>
  </sheetData>
  <printOptions horizontalCentered="1"/>
  <pageMargins left="0.7" right="0.7" top="0.75" bottom="0.75" header="0.3" footer="0.3"/>
  <pageSetup orientation="landscape" horizontalDpi="4294967293" verticalDpi="1200" r:id="rId1"/>
  <headerFooter scaleWithDoc="0">
    <oddHeader xml:space="preserve">&amp;C&amp;"-,Bold"&amp;18 </oddHeader>
    <oddFooter>&amp;L&amp;8Source:  Newspapers Canada 
May 2014&amp;R&amp;8&amp;P</oddFooter>
  </headerFooter>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251"/>
  <sheetViews>
    <sheetView tabSelected="1" zoomScale="80" zoomScaleNormal="80" zoomScaleSheetLayoutView="80" workbookViewId="0">
      <pane xSplit="3" ySplit="3" topLeftCell="D4" activePane="bottomRight" state="frozen"/>
      <selection pane="topRight" activeCell="D1" sqref="D1"/>
      <selection pane="bottomLeft" activeCell="A4" sqref="A4"/>
      <selection pane="bottomRight" activeCell="D4" sqref="D4"/>
    </sheetView>
  </sheetViews>
  <sheetFormatPr defaultColWidth="8.85546875" defaultRowHeight="15"/>
  <cols>
    <col min="1" max="1" width="30.28515625" style="59" customWidth="1"/>
    <col min="2" max="2" width="10.7109375" style="60" hidden="1" customWidth="1"/>
    <col min="3" max="3" width="12.85546875" style="60" hidden="1" customWidth="1"/>
    <col min="4" max="4" width="5" style="61" bestFit="1" customWidth="1"/>
    <col min="5" max="5" width="19.42578125" style="62" customWidth="1"/>
    <col min="6" max="6" width="13.5703125" style="303" hidden="1" customWidth="1"/>
    <col min="7" max="7" width="13.5703125" style="63" hidden="1" customWidth="1"/>
    <col min="8" max="8" width="8.5703125" style="60" hidden="1" customWidth="1"/>
    <col min="9" max="9" width="9.5703125" style="64" hidden="1" customWidth="1"/>
    <col min="10" max="10" width="6" style="60" hidden="1" customWidth="1"/>
    <col min="11" max="11" width="10.7109375" style="60" hidden="1" customWidth="1"/>
    <col min="12" max="12" width="12" style="60" hidden="1" customWidth="1"/>
    <col min="13" max="13" width="6.140625" style="60" customWidth="1"/>
    <col min="14" max="14" width="12" style="60" hidden="1" customWidth="1"/>
    <col min="15" max="15" width="5.5703125" style="65" bestFit="1" customWidth="1"/>
    <col min="16" max="16" width="27.42578125" style="65" hidden="1" customWidth="1"/>
    <col min="17" max="17" width="6.85546875" style="60" customWidth="1"/>
    <col min="18" max="19" width="14.85546875" style="304" hidden="1" customWidth="1"/>
    <col min="20" max="20" width="13.28515625" style="304" hidden="1" customWidth="1"/>
    <col min="21" max="21" width="14.140625" style="304" hidden="1" customWidth="1"/>
    <col min="22" max="22" width="13.28515625" style="304" hidden="1" customWidth="1"/>
    <col min="23" max="23" width="11.85546875" style="304" hidden="1" customWidth="1"/>
    <col min="24" max="24" width="15.42578125" style="304" hidden="1" customWidth="1"/>
    <col min="25" max="25" width="14.42578125" style="304" hidden="1" customWidth="1"/>
    <col min="26" max="26" width="12.7109375" style="304" hidden="1" customWidth="1"/>
    <col min="27" max="27" width="14.140625" style="304" hidden="1" customWidth="1"/>
    <col min="28" max="28" width="9.42578125" style="304" hidden="1" customWidth="1"/>
    <col min="29" max="29" width="8.5703125" style="304" hidden="1" customWidth="1"/>
    <col min="30" max="30" width="14.85546875" style="305" hidden="1" customWidth="1"/>
    <col min="31" max="31" width="14" style="305" hidden="1" customWidth="1"/>
    <col min="32" max="32" width="12.28515625" style="305" hidden="1" customWidth="1"/>
    <col min="33" max="33" width="14.140625" style="305" hidden="1" customWidth="1"/>
    <col min="34" max="34" width="13.28515625" style="305" hidden="1" customWidth="1"/>
    <col min="35" max="35" width="12.7109375" style="305" hidden="1" customWidth="1"/>
    <col min="36" max="37" width="14.85546875" style="305" hidden="1" customWidth="1"/>
    <col min="38" max="38" width="13.28515625" style="305" hidden="1" customWidth="1"/>
    <col min="39" max="39" width="14.140625" style="305" hidden="1" customWidth="1"/>
    <col min="40" max="40" width="9.42578125" style="305" hidden="1" customWidth="1"/>
    <col min="41" max="41" width="9" style="305" hidden="1" customWidth="1"/>
    <col min="42" max="45" width="11.28515625" style="60" bestFit="1" customWidth="1"/>
    <col min="46" max="47" width="9.5703125" style="60" bestFit="1" customWidth="1"/>
    <col min="48" max="50" width="11.28515625" style="60" bestFit="1" customWidth="1"/>
    <col min="51" max="51" width="10.140625" style="60" bestFit="1" customWidth="1"/>
    <col min="52" max="53" width="9.5703125" style="60" bestFit="1" customWidth="1"/>
    <col min="54" max="54" width="12.28515625" style="66" bestFit="1" customWidth="1"/>
    <col min="55" max="55" width="12.5703125" style="66" customWidth="1"/>
    <col min="56" max="56" width="12" style="66" bestFit="1" customWidth="1"/>
    <col min="57" max="57" width="4.85546875" style="67" hidden="1" customWidth="1"/>
    <col min="58" max="58" width="73.7109375" style="67" hidden="1" customWidth="1"/>
    <col min="59" max="59" width="11.7109375" style="67" hidden="1" customWidth="1"/>
    <col min="60" max="60" width="55.5703125" style="67" hidden="1" customWidth="1"/>
    <col min="61" max="61" width="8.85546875" style="60" hidden="1" customWidth="1"/>
    <col min="62" max="16384" width="8.85546875" style="60"/>
  </cols>
  <sheetData>
    <row r="1" spans="1:61" s="115" customFormat="1" ht="15.75" customHeight="1" thickBot="1">
      <c r="A1" s="105"/>
      <c r="B1" s="106"/>
      <c r="C1" s="106"/>
      <c r="D1" s="107"/>
      <c r="E1" s="108"/>
      <c r="F1" s="109"/>
      <c r="G1" s="110"/>
      <c r="H1" s="106"/>
      <c r="I1" s="111"/>
      <c r="J1" s="106"/>
      <c r="K1" s="106"/>
      <c r="L1" s="106"/>
      <c r="M1" s="106"/>
      <c r="N1" s="106"/>
      <c r="O1" s="112"/>
      <c r="P1" s="112"/>
      <c r="Q1" s="106"/>
      <c r="R1" s="409" t="s">
        <v>408</v>
      </c>
      <c r="S1" s="409"/>
      <c r="T1" s="409"/>
      <c r="U1" s="409"/>
      <c r="V1" s="409"/>
      <c r="W1" s="409"/>
      <c r="X1" s="409"/>
      <c r="Y1" s="409"/>
      <c r="Z1" s="409"/>
      <c r="AA1" s="409"/>
      <c r="AB1" s="409"/>
      <c r="AC1" s="409"/>
      <c r="AD1" s="410" t="s">
        <v>409</v>
      </c>
      <c r="AE1" s="410"/>
      <c r="AF1" s="410"/>
      <c r="AG1" s="410"/>
      <c r="AH1" s="410"/>
      <c r="AI1" s="410"/>
      <c r="AJ1" s="410"/>
      <c r="AK1" s="410"/>
      <c r="AL1" s="410"/>
      <c r="AM1" s="410"/>
      <c r="AN1" s="410"/>
      <c r="AO1" s="410"/>
      <c r="AP1" s="411" t="s">
        <v>410</v>
      </c>
      <c r="AQ1" s="411"/>
      <c r="AR1" s="411"/>
      <c r="AS1" s="411"/>
      <c r="AT1" s="411"/>
      <c r="AU1" s="411"/>
      <c r="AV1" s="411"/>
      <c r="AW1" s="411"/>
      <c r="AX1" s="411"/>
      <c r="AY1" s="411"/>
      <c r="AZ1" s="411"/>
      <c r="BA1" s="411"/>
      <c r="BB1" s="113"/>
      <c r="BC1" s="113"/>
      <c r="BD1" s="113"/>
      <c r="BE1" s="114"/>
      <c r="BF1" s="114"/>
      <c r="BG1" s="114"/>
      <c r="BH1" s="114"/>
    </row>
    <row r="2" spans="1:61" s="87" customFormat="1" ht="23.25" customHeight="1" thickBot="1">
      <c r="A2" s="116"/>
      <c r="B2" s="117"/>
      <c r="C2" s="117"/>
      <c r="D2" s="117"/>
      <c r="E2" s="118"/>
      <c r="F2" s="119"/>
      <c r="G2" s="379"/>
      <c r="H2" s="117"/>
      <c r="I2" s="379"/>
      <c r="J2" s="117"/>
      <c r="K2" s="117"/>
      <c r="L2" s="117"/>
      <c r="M2" s="117"/>
      <c r="N2" s="117"/>
      <c r="O2" s="118"/>
      <c r="P2" s="118"/>
      <c r="Q2" s="117"/>
      <c r="R2" s="412" t="s">
        <v>411</v>
      </c>
      <c r="S2" s="413"/>
      <c r="T2" s="414"/>
      <c r="U2" s="413" t="s">
        <v>412</v>
      </c>
      <c r="V2" s="413"/>
      <c r="W2" s="413"/>
      <c r="X2" s="413" t="s">
        <v>413</v>
      </c>
      <c r="Y2" s="413"/>
      <c r="Z2" s="414"/>
      <c r="AA2" s="412" t="s">
        <v>414</v>
      </c>
      <c r="AB2" s="413"/>
      <c r="AC2" s="414"/>
      <c r="AD2" s="415" t="s">
        <v>415</v>
      </c>
      <c r="AE2" s="415"/>
      <c r="AF2" s="415"/>
      <c r="AG2" s="415" t="s">
        <v>416</v>
      </c>
      <c r="AH2" s="415"/>
      <c r="AI2" s="415"/>
      <c r="AJ2" s="415" t="s">
        <v>413</v>
      </c>
      <c r="AK2" s="415"/>
      <c r="AL2" s="415"/>
      <c r="AM2" s="415" t="s">
        <v>414</v>
      </c>
      <c r="AN2" s="415"/>
      <c r="AO2" s="415"/>
      <c r="AP2" s="416" t="s">
        <v>415</v>
      </c>
      <c r="AQ2" s="417"/>
      <c r="AR2" s="418"/>
      <c r="AS2" s="419" t="s">
        <v>511</v>
      </c>
      <c r="AT2" s="420"/>
      <c r="AU2" s="421"/>
      <c r="AV2" s="422" t="s">
        <v>512</v>
      </c>
      <c r="AW2" s="423"/>
      <c r="AX2" s="424"/>
      <c r="AY2" s="425" t="s">
        <v>513</v>
      </c>
      <c r="AZ2" s="417"/>
      <c r="BA2" s="418"/>
      <c r="BB2" s="408"/>
      <c r="BC2" s="408"/>
      <c r="BD2" s="379"/>
    </row>
    <row r="3" spans="1:61" s="137" customFormat="1" ht="26.25" thickBot="1">
      <c r="A3" s="120" t="s">
        <v>0</v>
      </c>
      <c r="B3" s="121" t="s">
        <v>1</v>
      </c>
      <c r="C3" s="121" t="s">
        <v>2</v>
      </c>
      <c r="D3" s="122" t="s">
        <v>417</v>
      </c>
      <c r="E3" s="123" t="s">
        <v>3</v>
      </c>
      <c r="F3" s="124" t="s">
        <v>418</v>
      </c>
      <c r="G3" s="121" t="s">
        <v>4</v>
      </c>
      <c r="H3" s="121" t="s">
        <v>5</v>
      </c>
      <c r="I3" s="121" t="s">
        <v>6</v>
      </c>
      <c r="J3" s="121" t="s">
        <v>7</v>
      </c>
      <c r="K3" s="121" t="s">
        <v>8</v>
      </c>
      <c r="L3" s="121" t="s">
        <v>331</v>
      </c>
      <c r="M3" s="121" t="s">
        <v>575</v>
      </c>
      <c r="N3" s="121" t="s">
        <v>9</v>
      </c>
      <c r="O3" s="125" t="s">
        <v>10</v>
      </c>
      <c r="P3" s="121" t="s">
        <v>11</v>
      </c>
      <c r="Q3" s="122" t="s">
        <v>12</v>
      </c>
      <c r="R3" s="126" t="s">
        <v>419</v>
      </c>
      <c r="S3" s="126" t="s">
        <v>420</v>
      </c>
      <c r="T3" s="127" t="s">
        <v>421</v>
      </c>
      <c r="U3" s="128" t="s">
        <v>419</v>
      </c>
      <c r="V3" s="126" t="s">
        <v>420</v>
      </c>
      <c r="W3" s="127" t="s">
        <v>421</v>
      </c>
      <c r="X3" s="126" t="s">
        <v>419</v>
      </c>
      <c r="Y3" s="126" t="s">
        <v>420</v>
      </c>
      <c r="Z3" s="127" t="s">
        <v>421</v>
      </c>
      <c r="AA3" s="128" t="s">
        <v>419</v>
      </c>
      <c r="AB3" s="126" t="s">
        <v>420</v>
      </c>
      <c r="AC3" s="127" t="s">
        <v>421</v>
      </c>
      <c r="AD3" s="129" t="s">
        <v>419</v>
      </c>
      <c r="AE3" s="130" t="s">
        <v>420</v>
      </c>
      <c r="AF3" s="131" t="s">
        <v>421</v>
      </c>
      <c r="AG3" s="129" t="s">
        <v>419</v>
      </c>
      <c r="AH3" s="130" t="s">
        <v>420</v>
      </c>
      <c r="AI3" s="131" t="s">
        <v>421</v>
      </c>
      <c r="AJ3" s="129" t="s">
        <v>419</v>
      </c>
      <c r="AK3" s="130" t="s">
        <v>420</v>
      </c>
      <c r="AL3" s="131" t="s">
        <v>421</v>
      </c>
      <c r="AM3" s="129" t="s">
        <v>419</v>
      </c>
      <c r="AN3" s="130" t="s">
        <v>420</v>
      </c>
      <c r="AO3" s="131" t="s">
        <v>421</v>
      </c>
      <c r="AP3" s="120" t="s">
        <v>419</v>
      </c>
      <c r="AQ3" s="121" t="s">
        <v>420</v>
      </c>
      <c r="AR3" s="123" t="s">
        <v>421</v>
      </c>
      <c r="AS3" s="120" t="s">
        <v>419</v>
      </c>
      <c r="AT3" s="121" t="s">
        <v>420</v>
      </c>
      <c r="AU3" s="123" t="s">
        <v>421</v>
      </c>
      <c r="AV3" s="132" t="s">
        <v>419</v>
      </c>
      <c r="AW3" s="133" t="s">
        <v>420</v>
      </c>
      <c r="AX3" s="134" t="s">
        <v>421</v>
      </c>
      <c r="AY3" s="121" t="s">
        <v>419</v>
      </c>
      <c r="AZ3" s="121" t="s">
        <v>420</v>
      </c>
      <c r="BA3" s="121" t="s">
        <v>421</v>
      </c>
      <c r="BB3" s="120" t="s">
        <v>514</v>
      </c>
      <c r="BC3" s="135" t="s">
        <v>515</v>
      </c>
      <c r="BD3" s="136" t="s">
        <v>516</v>
      </c>
      <c r="BF3" s="138" t="s">
        <v>13</v>
      </c>
      <c r="BG3" s="137" t="s">
        <v>422</v>
      </c>
    </row>
    <row r="4" spans="1:61" s="5" customFormat="1">
      <c r="A4" s="139" t="s">
        <v>287</v>
      </c>
      <c r="B4" s="1" t="s">
        <v>14</v>
      </c>
      <c r="C4" s="1" t="s">
        <v>15</v>
      </c>
      <c r="D4" s="36" t="s">
        <v>16</v>
      </c>
      <c r="E4" s="33" t="s">
        <v>17</v>
      </c>
      <c r="F4" s="140">
        <v>1309200</v>
      </c>
      <c r="G4" s="1" t="s">
        <v>18</v>
      </c>
      <c r="H4" s="1" t="s">
        <v>19</v>
      </c>
      <c r="I4" s="1">
        <v>10</v>
      </c>
      <c r="J4" s="1">
        <v>310</v>
      </c>
      <c r="K4" s="1">
        <f>I4*J4</f>
        <v>3100</v>
      </c>
      <c r="L4" s="84" t="s">
        <v>337</v>
      </c>
      <c r="M4" s="84" t="s">
        <v>576</v>
      </c>
      <c r="N4" s="1" t="s">
        <v>20</v>
      </c>
      <c r="O4" s="33" t="s">
        <v>45</v>
      </c>
      <c r="P4" s="4" t="s">
        <v>22</v>
      </c>
      <c r="Q4" s="141" t="s">
        <v>23</v>
      </c>
      <c r="R4" s="145">
        <f>116717-2658</f>
        <v>114059</v>
      </c>
      <c r="S4" s="146">
        <f>112722-2537</f>
        <v>110185</v>
      </c>
      <c r="T4" s="147"/>
      <c r="U4" s="142">
        <f>2658+5815</f>
        <v>8473</v>
      </c>
      <c r="V4" s="142">
        <f>2537+4273</f>
        <v>6810</v>
      </c>
      <c r="W4" s="142"/>
      <c r="X4" s="145">
        <f>R4+U4</f>
        <v>122532</v>
      </c>
      <c r="Y4" s="146">
        <f>S4+V4</f>
        <v>116995</v>
      </c>
      <c r="Z4" s="147"/>
      <c r="AA4" s="146">
        <v>47267</v>
      </c>
      <c r="AB4" s="146">
        <v>44750</v>
      </c>
      <c r="AC4" s="146"/>
      <c r="AD4" s="354">
        <v>65989</v>
      </c>
      <c r="AE4" s="355">
        <v>66853</v>
      </c>
      <c r="AF4" s="356">
        <v>0</v>
      </c>
      <c r="AG4" s="149">
        <v>48930</v>
      </c>
      <c r="AH4" s="149">
        <v>45639</v>
      </c>
      <c r="AI4" s="149">
        <v>0</v>
      </c>
      <c r="AJ4" s="354">
        <f>AD4+AG4</f>
        <v>114919</v>
      </c>
      <c r="AK4" s="355">
        <f>AE4+AH4</f>
        <v>112492</v>
      </c>
      <c r="AL4" s="356">
        <v>0</v>
      </c>
      <c r="AM4" s="354">
        <v>47267</v>
      </c>
      <c r="AN4" s="355">
        <v>44750</v>
      </c>
      <c r="AO4" s="356"/>
      <c r="AP4" s="152">
        <f>AVERAGE(R4,AD4)</f>
        <v>90024</v>
      </c>
      <c r="AQ4" s="152">
        <f>AVERAGE(S4,AE4)</f>
        <v>88519</v>
      </c>
      <c r="AR4" s="152">
        <f>AVERAGE(T4,AF4)</f>
        <v>0</v>
      </c>
      <c r="AS4" s="153">
        <f>AVERAGE(U4,AG4)</f>
        <v>28701.5</v>
      </c>
      <c r="AT4" s="154">
        <f>AVERAGE(V4,AH4)</f>
        <v>26224.5</v>
      </c>
      <c r="AU4" s="155">
        <f>AVERAGE(W4,AI4)</f>
        <v>0</v>
      </c>
      <c r="AV4" s="156">
        <f>AVERAGE(X4,AJ4)</f>
        <v>118725.5</v>
      </c>
      <c r="AW4" s="156">
        <f>AVERAGE(Y4,AK4)</f>
        <v>114743.5</v>
      </c>
      <c r="AX4" s="156">
        <f>AVERAGE(Z4,AL4)</f>
        <v>0</v>
      </c>
      <c r="AY4" s="153">
        <f>AVERAGE(AA4,AM4)</f>
        <v>47267</v>
      </c>
      <c r="AZ4" s="154">
        <f>AVERAGE(AB4,AN4)</f>
        <v>44750</v>
      </c>
      <c r="BA4" s="155"/>
      <c r="BB4" s="157">
        <f>IF($O4="M-Sa",(AV4*5)+AW4+AX4,IF($O4="m-su",(AV4*5)+AW4+AX4,IF($O4="M-F",(AV4*5),IF($O4="T-Su",(AV4*4)+AW4+AX4,IF($O4="T-Sa",(AV4*4)+AW4,IF($O4="T-F",(AV4*4),IF($O4="Su-F",(AV4*5)+AW4+AX4,(AV4*5+AW4+AX4))))))))</f>
        <v>708371</v>
      </c>
      <c r="BC4" s="157">
        <f>IF($O4="M-Sa",(BB4/6),IF($O4="m-su",(BB4/7),IF($O4="M-F",(BB4/5),IF($O4="T-Su",(BB4/6),IF($O4="T-Sa",(BB4/5),IF($O4="T-F",(BB4/4),IF($O4="Su-F",(BB4/6),(BB4/7))))))))</f>
        <v>118061.83333333333</v>
      </c>
      <c r="BD4" s="158">
        <f>IF($O4="M-Sa",(AY4*5)+AZ4+BA4,IF($O4="m-su",(AY4*5)+AZ4+BA4,IF($O4="M-F",(AY4*5),IF($O4="T-Su",(AY4*4)+AZ4+BA4,IF($O4="T-Sa",(AY4*4)+AZ4,IF($O4="T-F",(AY4*4),IF($O4="Su-F",(AY4*5)+AZ4+BA4,(AY4*5+AZ4+BA4))))))))</f>
        <v>281085</v>
      </c>
      <c r="BF4" s="6" t="s">
        <v>24</v>
      </c>
    </row>
    <row r="5" spans="1:61" s="5" customFormat="1">
      <c r="A5" s="159" t="s">
        <v>25</v>
      </c>
      <c r="B5" s="1" t="s">
        <v>14</v>
      </c>
      <c r="C5" s="1" t="s">
        <v>15</v>
      </c>
      <c r="D5" s="36" t="s">
        <v>16</v>
      </c>
      <c r="E5" s="3" t="s">
        <v>17</v>
      </c>
      <c r="F5" s="140">
        <v>1309200</v>
      </c>
      <c r="G5" s="1" t="s">
        <v>18</v>
      </c>
      <c r="H5" s="1" t="s">
        <v>26</v>
      </c>
      <c r="I5" s="1">
        <v>10</v>
      </c>
      <c r="J5" s="1">
        <v>160</v>
      </c>
      <c r="K5" s="1">
        <f>I5*J5</f>
        <v>1600</v>
      </c>
      <c r="L5" s="84" t="s">
        <v>334</v>
      </c>
      <c r="M5" s="84" t="s">
        <v>576</v>
      </c>
      <c r="N5" s="1" t="s">
        <v>20</v>
      </c>
      <c r="O5" s="3" t="s">
        <v>21</v>
      </c>
      <c r="P5" s="4" t="s">
        <v>27</v>
      </c>
      <c r="Q5" s="2" t="s">
        <v>28</v>
      </c>
      <c r="R5" s="144"/>
      <c r="S5" s="142"/>
      <c r="T5" s="143"/>
      <c r="U5" s="142"/>
      <c r="V5" s="142"/>
      <c r="W5" s="142"/>
      <c r="X5" s="144"/>
      <c r="Y5" s="142"/>
      <c r="Z5" s="143"/>
      <c r="AA5" s="142"/>
      <c r="AB5" s="142"/>
      <c r="AC5" s="142"/>
      <c r="AD5" s="148"/>
      <c r="AE5" s="149"/>
      <c r="AF5" s="150"/>
      <c r="AG5" s="149"/>
      <c r="AH5" s="149"/>
      <c r="AI5" s="149"/>
      <c r="AJ5" s="148">
        <f>AD5+AG5</f>
        <v>0</v>
      </c>
      <c r="AK5" s="149">
        <f>AE5+AH5</f>
        <v>0</v>
      </c>
      <c r="AL5" s="150">
        <f>AF5+AI5</f>
        <v>0</v>
      </c>
      <c r="AM5" s="148"/>
      <c r="AN5" s="149"/>
      <c r="AO5" s="150"/>
      <c r="AP5" s="152">
        <v>27576</v>
      </c>
      <c r="AQ5" s="152">
        <v>31086</v>
      </c>
      <c r="AR5" s="152">
        <v>42711</v>
      </c>
      <c r="AS5" s="151">
        <v>31976</v>
      </c>
      <c r="AT5" s="152">
        <v>30602</v>
      </c>
      <c r="AU5" s="166">
        <v>29722</v>
      </c>
      <c r="AV5" s="156">
        <f>AP5+AS5</f>
        <v>59552</v>
      </c>
      <c r="AW5" s="156">
        <f>AQ5+AT5</f>
        <v>61688</v>
      </c>
      <c r="AX5" s="156">
        <f>AR5+AU5</f>
        <v>72433</v>
      </c>
      <c r="AY5" s="151">
        <f>15224+3054+15896</f>
        <v>34174</v>
      </c>
      <c r="AZ5" s="152">
        <f>3063+15896</f>
        <v>18959</v>
      </c>
      <c r="BA5" s="166">
        <f>1479+3068+15896</f>
        <v>20443</v>
      </c>
      <c r="BB5" s="157">
        <f>IF($O5="M-Sa",(AV5*5)+AW5+AX5,IF($O5="m-su",(AV5*5)+AW5+AX5,IF($O5="M-F",(AV5*5),IF($O5="T-Su",(AV5*4)+AW5+AX5,IF($O5="T-Sa",(AV5*4)+AW5,IF($O5="T-F",(AV5*4),IF($O5="Su-F",(AV5*5)+AW5+AX5,(AV5*5+AW5+AX5))))))))</f>
        <v>431881</v>
      </c>
      <c r="BC5" s="157">
        <f>IF($O5="M-Sa",(BB5/6),IF($O5="m-su",(BB5/7),IF($O5="M-F",(BB5/5),IF($O5="T-Su",(BB5/6),IF($O5="T-Sa",(BB5/5),IF($O5="T-F",(BB5/4),IF($O5="Su-F",(BB5/6),(BB5/7))))))))</f>
        <v>61697.285714285717</v>
      </c>
      <c r="BD5" s="167">
        <f>IF($O5="M-Sa",(AY5*5)+AZ5+BA5,IF($O5="m-su",(AY5*5)+AZ5+BA5,IF($O5="M-F",(AY5*5),IF($O5="T-Su",(AY5*4)+AZ5+BA5,IF($O5="T-Sa",(AY5*4)+AZ5,IF($O5="T-F",(AY5*4),IF($O5="Su-F",(AY5*5)+AZ5+BA5,(AY5*5+AZ5+BA5))))))))</f>
        <v>210272</v>
      </c>
      <c r="BF5" s="6"/>
      <c r="BI5" s="7"/>
    </row>
    <row r="6" spans="1:61" s="5" customFormat="1">
      <c r="A6" s="159" t="s">
        <v>217</v>
      </c>
      <c r="B6" s="1" t="s">
        <v>14</v>
      </c>
      <c r="C6" s="1" t="s">
        <v>15</v>
      </c>
      <c r="D6" s="36" t="s">
        <v>16</v>
      </c>
      <c r="E6" s="3" t="s">
        <v>17</v>
      </c>
      <c r="F6" s="140">
        <v>1309200</v>
      </c>
      <c r="G6" s="1" t="s">
        <v>18</v>
      </c>
      <c r="H6" s="1" t="s">
        <v>26</v>
      </c>
      <c r="I6" s="1">
        <v>6</v>
      </c>
      <c r="J6" s="1">
        <v>175</v>
      </c>
      <c r="K6" s="1">
        <f>I6*J6</f>
        <v>1050</v>
      </c>
      <c r="L6" s="1"/>
      <c r="M6" s="1" t="s">
        <v>577</v>
      </c>
      <c r="N6" s="1" t="s">
        <v>20</v>
      </c>
      <c r="O6" s="3" t="s">
        <v>36</v>
      </c>
      <c r="P6" s="4" t="s">
        <v>218</v>
      </c>
      <c r="Q6" s="2" t="s">
        <v>28</v>
      </c>
      <c r="R6" s="162"/>
      <c r="S6" s="160"/>
      <c r="T6" s="161"/>
      <c r="U6" s="160"/>
      <c r="V6" s="160"/>
      <c r="W6" s="160"/>
      <c r="X6" s="162"/>
      <c r="Y6" s="160"/>
      <c r="Z6" s="161"/>
      <c r="AA6" s="160"/>
      <c r="AB6" s="160"/>
      <c r="AC6" s="160"/>
      <c r="AD6" s="163"/>
      <c r="AE6" s="164"/>
      <c r="AF6" s="165"/>
      <c r="AG6" s="164"/>
      <c r="AH6" s="164"/>
      <c r="AI6" s="164"/>
      <c r="AJ6" s="163"/>
      <c r="AK6" s="164"/>
      <c r="AL6" s="165"/>
      <c r="AM6" s="163"/>
      <c r="AN6" s="164"/>
      <c r="AO6" s="165"/>
      <c r="AP6" s="1"/>
      <c r="AQ6" s="1"/>
      <c r="AR6" s="1"/>
      <c r="AS6" s="151">
        <v>65457</v>
      </c>
      <c r="AT6" s="152"/>
      <c r="AU6" s="166"/>
      <c r="AV6" s="156">
        <f>AP6+AS6</f>
        <v>65457</v>
      </c>
      <c r="AW6" s="156">
        <f>AQ6+AT6</f>
        <v>0</v>
      </c>
      <c r="AX6" s="156"/>
      <c r="AY6" s="36"/>
      <c r="AZ6" s="1"/>
      <c r="BA6" s="37"/>
      <c r="BB6" s="157">
        <f>IF($O6="M-Sa",(AV6*5)+AW6+AX6,IF($O6="m-su",(AV6*5)+AW6+AX6,IF($O6="M-F",(AV6*5),IF($O6="T-Su",(AV6*4)+AW6+AX6,IF($O6="T-Sa",(AV6*4)+AW6,IF($O6="T-F",(AV6*4),IF($O6="Su-F",(AV6*5)+AW6+AX6,(AV6*5+AW6+AX6))))))))</f>
        <v>327285</v>
      </c>
      <c r="BC6" s="157">
        <f>IF($O6="M-Sa",(BB6/6),IF($O6="m-su",(BB6/7),IF($O6="M-F",(BB6/5),IF($O6="T-Su",(BB6/6),IF($O6="T-Sa",(BB6/5),IF($O6="T-F",(BB6/4),IF($O6="Su-F",(BB6/6),(BB6/7))))))))</f>
        <v>65457</v>
      </c>
      <c r="BD6" s="167">
        <f>IF($O6="M-Sa",(AY6*5)+AZ6+BA6,IF($O6="m-su",(AY6*5)+AZ6+BA6,IF($O6="M-F",(AY6*5),IF($O6="T-Su",(AY6*4)+AZ6+BA6,IF($O6="T-Sa",(AY6*4)+AZ6,IF($O6="T-F",(AY6*4),IF($O6="Su-F",(AY6*5)+AZ6+BA6,(AY6*5+AZ6+BA6))))))))</f>
        <v>0</v>
      </c>
      <c r="BE6" s="34"/>
      <c r="BF6" s="3"/>
      <c r="BG6" s="168">
        <v>2007</v>
      </c>
      <c r="BH6" s="169" t="s">
        <v>219</v>
      </c>
    </row>
    <row r="7" spans="1:61" s="5" customFormat="1">
      <c r="A7" s="159" t="s">
        <v>423</v>
      </c>
      <c r="B7" s="1" t="s">
        <v>14</v>
      </c>
      <c r="C7" s="1" t="s">
        <v>15</v>
      </c>
      <c r="D7" s="36" t="s">
        <v>16</v>
      </c>
      <c r="E7" s="3" t="s">
        <v>29</v>
      </c>
      <c r="F7" s="140">
        <v>1230100</v>
      </c>
      <c r="G7" s="1" t="s">
        <v>18</v>
      </c>
      <c r="H7" s="1" t="s">
        <v>19</v>
      </c>
      <c r="I7" s="1">
        <v>10</v>
      </c>
      <c r="J7" s="1">
        <v>310</v>
      </c>
      <c r="K7" s="1">
        <f>I7*J7</f>
        <v>3100</v>
      </c>
      <c r="L7" s="84" t="s">
        <v>337</v>
      </c>
      <c r="M7" s="84" t="s">
        <v>576</v>
      </c>
      <c r="N7" s="1" t="s">
        <v>20</v>
      </c>
      <c r="O7" s="3" t="s">
        <v>45</v>
      </c>
      <c r="P7" s="4" t="s">
        <v>22</v>
      </c>
      <c r="Q7" s="2" t="s">
        <v>23</v>
      </c>
      <c r="R7" s="144">
        <f>91931-4849</f>
        <v>87082</v>
      </c>
      <c r="S7" s="142">
        <f>97806-3991</f>
        <v>93815</v>
      </c>
      <c r="T7" s="143"/>
      <c r="U7" s="142">
        <f>4849+4517</f>
        <v>9366</v>
      </c>
      <c r="V7" s="142">
        <f>3991+4685</f>
        <v>8676</v>
      </c>
      <c r="W7" s="142"/>
      <c r="X7" s="144">
        <f>R7+U7</f>
        <v>96448</v>
      </c>
      <c r="Y7" s="142">
        <f>S7+V7</f>
        <v>102491</v>
      </c>
      <c r="Z7" s="143"/>
      <c r="AA7" s="142"/>
      <c r="AB7" s="142"/>
      <c r="AC7" s="142"/>
      <c r="AD7" s="148">
        <v>65174</v>
      </c>
      <c r="AE7" s="149">
        <v>72079</v>
      </c>
      <c r="AF7" s="150">
        <v>0</v>
      </c>
      <c r="AG7" s="149">
        <v>31026</v>
      </c>
      <c r="AH7" s="149">
        <v>28845</v>
      </c>
      <c r="AI7" s="149">
        <v>0</v>
      </c>
      <c r="AJ7" s="148">
        <f>AD7+AG7</f>
        <v>96200</v>
      </c>
      <c r="AK7" s="149">
        <f>AE7+AH7</f>
        <v>100924</v>
      </c>
      <c r="AL7" s="150">
        <f>AF7+AI7</f>
        <v>0</v>
      </c>
      <c r="AM7" s="148">
        <v>28515</v>
      </c>
      <c r="AN7" s="149">
        <v>27298</v>
      </c>
      <c r="AO7" s="150"/>
      <c r="AP7" s="152">
        <f>AVERAGE(R7,AD7)</f>
        <v>76128</v>
      </c>
      <c r="AQ7" s="152">
        <f>AVERAGE(S7,AE7)</f>
        <v>82947</v>
      </c>
      <c r="AR7" s="152">
        <f>AVERAGE(T7,AF7)</f>
        <v>0</v>
      </c>
      <c r="AS7" s="151">
        <f>AVERAGE(U7,AG7)</f>
        <v>20196</v>
      </c>
      <c r="AT7" s="152">
        <f>AVERAGE(V7,AH7)</f>
        <v>18760.5</v>
      </c>
      <c r="AU7" s="166">
        <f>AVERAGE(W7,AI7)</f>
        <v>0</v>
      </c>
      <c r="AV7" s="156">
        <f>AVERAGE(X7,AJ7)</f>
        <v>96324</v>
      </c>
      <c r="AW7" s="156">
        <f>AVERAGE(Y7,AK7)</f>
        <v>101707.5</v>
      </c>
      <c r="AX7" s="156">
        <f>AVERAGE(Z7,AL7)</f>
        <v>0</v>
      </c>
      <c r="AY7" s="151">
        <f>AVERAGE(AA7,AM7)</f>
        <v>28515</v>
      </c>
      <c r="AZ7" s="152">
        <f>AVERAGE(AB7,AN7)</f>
        <v>27298</v>
      </c>
      <c r="BA7" s="166"/>
      <c r="BB7" s="157">
        <f>IF($O7="M-Sa",(AV7*5)+AW7+AX7,IF($O7="m-su",(AV7*5)+AW7+AX7,IF($O7="M-F",(AV7*5),IF($O7="T-Su",(AV7*4)+AW7+AX7,IF($O7="T-Sa",(AV7*4)+AW7,IF($O7="T-F",(AV7*4),IF($O7="Su-F",(AV7*5)+AW7+AX7,(AV7*5+AW7+AX7))))))))</f>
        <v>583327.5</v>
      </c>
      <c r="BC7" s="157">
        <f>IF($O7="M-Sa",(BB7/6),IF($O7="m-su",(BB7/7),IF($O7="M-F",(BB7/5),IF($O7="T-Su",(BB7/6),IF($O7="T-Sa",(BB7/5),IF($O7="T-F",(BB7/4),IF($O7="Su-F",(BB7/6),(BB7/7))))))))</f>
        <v>97221.25</v>
      </c>
      <c r="BD7" s="167">
        <f>IF($O7="M-Sa",(AY7*5)+AZ7+BA7,IF($O7="m-su",(AY7*5)+AZ7+BA7,IF($O7="M-F",(AY7*5),IF($O7="T-Su",(AY7*4)+AZ7+BA7,IF($O7="T-Sa",(AY7*4)+AZ7,IF($O7="T-F",(AY7*4),IF($O7="Su-F",(AY7*5)+AZ7+BA7,(AY7*5+AZ7+BA7))))))))</f>
        <v>169873</v>
      </c>
      <c r="BF7" s="6" t="s">
        <v>30</v>
      </c>
    </row>
    <row r="8" spans="1:61" s="5" customFormat="1">
      <c r="A8" s="159" t="s">
        <v>31</v>
      </c>
      <c r="B8" s="1" t="s">
        <v>14</v>
      </c>
      <c r="C8" s="1" t="s">
        <v>15</v>
      </c>
      <c r="D8" s="36" t="s">
        <v>16</v>
      </c>
      <c r="E8" s="3" t="s">
        <v>29</v>
      </c>
      <c r="F8" s="140">
        <v>1230100</v>
      </c>
      <c r="G8" s="1" t="s">
        <v>18</v>
      </c>
      <c r="H8" s="1" t="s">
        <v>26</v>
      </c>
      <c r="I8" s="1">
        <v>10</v>
      </c>
      <c r="J8" s="1">
        <v>160</v>
      </c>
      <c r="K8" s="1">
        <f>I8*J8</f>
        <v>1600</v>
      </c>
      <c r="L8" s="84" t="s">
        <v>334</v>
      </c>
      <c r="M8" s="84" t="s">
        <v>576</v>
      </c>
      <c r="N8" s="1" t="s">
        <v>20</v>
      </c>
      <c r="O8" s="3" t="s">
        <v>21</v>
      </c>
      <c r="P8" s="4" t="s">
        <v>27</v>
      </c>
      <c r="Q8" s="2" t="s">
        <v>28</v>
      </c>
      <c r="R8" s="144"/>
      <c r="S8" s="142"/>
      <c r="T8" s="143"/>
      <c r="U8" s="142"/>
      <c r="V8" s="142"/>
      <c r="W8" s="142"/>
      <c r="X8" s="144"/>
      <c r="Y8" s="142"/>
      <c r="Z8" s="143"/>
      <c r="AA8" s="142"/>
      <c r="AB8" s="142"/>
      <c r="AC8" s="142"/>
      <c r="AD8" s="148"/>
      <c r="AE8" s="149"/>
      <c r="AF8" s="150"/>
      <c r="AG8" s="149"/>
      <c r="AH8" s="149"/>
      <c r="AI8" s="149"/>
      <c r="AJ8" s="148">
        <f>AD8+AG8</f>
        <v>0</v>
      </c>
      <c r="AK8" s="149">
        <f>AE8+AH8</f>
        <v>0</v>
      </c>
      <c r="AL8" s="150">
        <f>AF8+AI8</f>
        <v>0</v>
      </c>
      <c r="AM8" s="148"/>
      <c r="AN8" s="149"/>
      <c r="AO8" s="150"/>
      <c r="AP8" s="152">
        <v>32809</v>
      </c>
      <c r="AQ8" s="152">
        <v>34103</v>
      </c>
      <c r="AR8" s="152">
        <v>48618</v>
      </c>
      <c r="AS8" s="151">
        <v>8537</v>
      </c>
      <c r="AT8" s="152">
        <v>6488</v>
      </c>
      <c r="AU8" s="166">
        <v>7385</v>
      </c>
      <c r="AV8" s="156">
        <f>AP8+AS8</f>
        <v>41346</v>
      </c>
      <c r="AW8" s="156">
        <f>AQ8+AT8</f>
        <v>40591</v>
      </c>
      <c r="AX8" s="156">
        <f>AR8+AU8</f>
        <v>56003</v>
      </c>
      <c r="AY8" s="151">
        <f>1416+2960</f>
        <v>4376</v>
      </c>
      <c r="AZ8" s="152"/>
      <c r="BA8" s="166"/>
      <c r="BB8" s="157">
        <f>IF($O8="M-Sa",(AV8*5)+AW8+AX8,IF($O8="m-su",(AV8*5)+AW8+AX8,IF($O8="M-F",(AV8*5),IF($O8="T-Su",(AV8*4)+AW8+AX8,IF($O8="T-Sa",(AV8*4)+AW8,IF($O8="T-F",(AV8*4),IF($O8="Su-F",(AV8*5)+AW8+AX8,(AV8*5+AW8+AX8))))))))</f>
        <v>303324</v>
      </c>
      <c r="BC8" s="157">
        <f>IF($O8="M-Sa",(BB8/6),IF($O8="m-su",(BB8/7),IF($O8="M-F",(BB8/5),IF($O8="T-Su",(BB8/6),IF($O8="T-Sa",(BB8/5),IF($O8="T-F",(BB8/4),IF($O8="Su-F",(BB8/6),(BB8/7))))))))</f>
        <v>43332</v>
      </c>
      <c r="BD8" s="167">
        <f>IF($O8="M-Sa",(AY8*5)+AZ8+BA8,IF($O8="m-su",(AY8*5)+AZ8+BA8,IF($O8="M-F",(AY8*5),IF($O8="T-Su",(AY8*4)+AZ8+BA8,IF($O8="T-Sa",(AY8*4)+AZ8,IF($O8="T-F",(AY8*4),IF($O8="Su-F",(AY8*5)+AZ8+BA8,(AY8*5+AZ8+BA8))))))))</f>
        <v>21880</v>
      </c>
      <c r="BF8" s="6"/>
    </row>
    <row r="9" spans="1:61" s="5" customFormat="1">
      <c r="A9" s="159" t="s">
        <v>220</v>
      </c>
      <c r="B9" s="1" t="s">
        <v>14</v>
      </c>
      <c r="C9" s="1" t="s">
        <v>15</v>
      </c>
      <c r="D9" s="36" t="s">
        <v>16</v>
      </c>
      <c r="E9" s="3" t="s">
        <v>29</v>
      </c>
      <c r="F9" s="140">
        <v>1230100</v>
      </c>
      <c r="G9" s="1" t="s">
        <v>18</v>
      </c>
      <c r="H9" s="1" t="s">
        <v>26</v>
      </c>
      <c r="I9" s="1">
        <v>6</v>
      </c>
      <c r="J9" s="1">
        <v>175</v>
      </c>
      <c r="K9" s="1">
        <f>I9*J9</f>
        <v>1050</v>
      </c>
      <c r="L9" s="1"/>
      <c r="M9" s="1" t="s">
        <v>577</v>
      </c>
      <c r="N9" s="1" t="s">
        <v>20</v>
      </c>
      <c r="O9" s="3" t="s">
        <v>36</v>
      </c>
      <c r="P9" s="4" t="s">
        <v>218</v>
      </c>
      <c r="Q9" s="2" t="s">
        <v>28</v>
      </c>
      <c r="R9" s="162"/>
      <c r="S9" s="160"/>
      <c r="T9" s="161"/>
      <c r="U9" s="160"/>
      <c r="V9" s="160"/>
      <c r="W9" s="160"/>
      <c r="X9" s="162"/>
      <c r="Y9" s="160"/>
      <c r="Z9" s="161"/>
      <c r="AA9" s="160"/>
      <c r="AB9" s="160"/>
      <c r="AC9" s="160"/>
      <c r="AD9" s="163"/>
      <c r="AE9" s="164"/>
      <c r="AF9" s="165"/>
      <c r="AG9" s="164"/>
      <c r="AH9" s="164"/>
      <c r="AI9" s="164"/>
      <c r="AJ9" s="163"/>
      <c r="AK9" s="164"/>
      <c r="AL9" s="165"/>
      <c r="AM9" s="163"/>
      <c r="AN9" s="164"/>
      <c r="AO9" s="165"/>
      <c r="AP9" s="1"/>
      <c r="AQ9" s="1"/>
      <c r="AR9" s="1"/>
      <c r="AS9" s="151">
        <v>61418</v>
      </c>
      <c r="AT9" s="152"/>
      <c r="AU9" s="166"/>
      <c r="AV9" s="156">
        <f>AP9+AS9</f>
        <v>61418</v>
      </c>
      <c r="AW9" s="156">
        <f>AQ9+AT9</f>
        <v>0</v>
      </c>
      <c r="AX9" s="156"/>
      <c r="AY9" s="36"/>
      <c r="AZ9" s="1"/>
      <c r="BA9" s="37"/>
      <c r="BB9" s="157">
        <f>IF($O9="M-Sa",(AV9*5)+AW9+AX9,IF($O9="m-su",(AV9*5)+AW9+AX9,IF($O9="M-F",(AV9*5),IF($O9="T-Su",(AV9*4)+AW9+AX9,IF($O9="T-Sa",(AV9*4)+AW9,IF($O9="T-F",(AV9*4),IF($O9="Su-F",(AV9*5)+AW9+AX9,(AV9*5+AW9+AX9))))))))</f>
        <v>307090</v>
      </c>
      <c r="BC9" s="157">
        <f>IF($O9="M-Sa",(BB9/6),IF($O9="m-su",(BB9/7),IF($O9="M-F",(BB9/5),IF($O9="T-Su",(BB9/6),IF($O9="T-Sa",(BB9/5),IF($O9="T-F",(BB9/4),IF($O9="Su-F",(BB9/6),(BB9/7))))))))</f>
        <v>61418</v>
      </c>
      <c r="BD9" s="167">
        <f>IF($O9="M-Sa",(AY9*5)+AZ9+BA9,IF($O9="m-su",(AY9*5)+AZ9+BA9,IF($O9="M-F",(AY9*5),IF($O9="T-Su",(AY9*4)+AZ9+BA9,IF($O9="T-Sa",(AY9*4)+AZ9,IF($O9="T-F",(AY9*4),IF($O9="Su-F",(AY9*5)+AZ9+BA9,(AY9*5+AZ9+BA9))))))))</f>
        <v>0</v>
      </c>
      <c r="BE9" s="34"/>
      <c r="BF9" s="3"/>
      <c r="BG9" s="168">
        <v>2007</v>
      </c>
      <c r="BH9" s="35" t="s">
        <v>221</v>
      </c>
    </row>
    <row r="10" spans="1:61" s="5" customFormat="1">
      <c r="A10" s="159" t="s">
        <v>32</v>
      </c>
      <c r="B10" s="1" t="s">
        <v>14</v>
      </c>
      <c r="C10" s="1" t="s">
        <v>15</v>
      </c>
      <c r="D10" s="36" t="s">
        <v>16</v>
      </c>
      <c r="E10" s="3" t="s">
        <v>33</v>
      </c>
      <c r="F10" s="140">
        <v>61374</v>
      </c>
      <c r="G10" s="1" t="s">
        <v>34</v>
      </c>
      <c r="H10" s="1" t="s">
        <v>26</v>
      </c>
      <c r="I10" s="1">
        <v>10</v>
      </c>
      <c r="J10" s="1">
        <v>160</v>
      </c>
      <c r="K10" s="1">
        <f>I10*J10</f>
        <v>1600</v>
      </c>
      <c r="L10" s="84"/>
      <c r="M10" s="84" t="s">
        <v>576</v>
      </c>
      <c r="N10" s="1" t="s">
        <v>35</v>
      </c>
      <c r="O10" s="3" t="s">
        <v>36</v>
      </c>
      <c r="P10" s="4" t="s">
        <v>27</v>
      </c>
      <c r="Q10" s="2" t="s">
        <v>23</v>
      </c>
      <c r="R10" s="144">
        <v>2220</v>
      </c>
      <c r="S10" s="142"/>
      <c r="T10" s="143"/>
      <c r="U10" s="142">
        <v>14</v>
      </c>
      <c r="V10" s="142"/>
      <c r="W10" s="142"/>
      <c r="X10" s="144">
        <f>R10+U10</f>
        <v>2234</v>
      </c>
      <c r="Y10" s="142">
        <f>S10+V10</f>
        <v>0</v>
      </c>
      <c r="Z10" s="143">
        <f>T10+W10</f>
        <v>0</v>
      </c>
      <c r="AA10" s="142"/>
      <c r="AB10" s="142"/>
      <c r="AC10" s="142"/>
      <c r="AD10" s="148">
        <v>1981</v>
      </c>
      <c r="AE10" s="149">
        <v>0</v>
      </c>
      <c r="AF10" s="150">
        <v>0</v>
      </c>
      <c r="AG10" s="149">
        <v>13</v>
      </c>
      <c r="AH10" s="149">
        <v>0</v>
      </c>
      <c r="AI10" s="149">
        <v>0</v>
      </c>
      <c r="AJ10" s="148">
        <f>AD10+AG10</f>
        <v>1994</v>
      </c>
      <c r="AK10" s="149">
        <f>AE10+AH10</f>
        <v>0</v>
      </c>
      <c r="AL10" s="150">
        <f>AF10+AI10</f>
        <v>0</v>
      </c>
      <c r="AM10" s="148"/>
      <c r="AN10" s="149"/>
      <c r="AO10" s="150"/>
      <c r="AP10" s="152">
        <f>AVERAGE(R10,AD10)</f>
        <v>2100.5</v>
      </c>
      <c r="AQ10" s="152">
        <f>AVERAGE(S10,AE10)</f>
        <v>0</v>
      </c>
      <c r="AR10" s="152">
        <f>AVERAGE(T10,AF10)</f>
        <v>0</v>
      </c>
      <c r="AS10" s="151">
        <f>AVERAGE(U10,AG10)</f>
        <v>13.5</v>
      </c>
      <c r="AT10" s="152">
        <f>AVERAGE(V10,AH10)</f>
        <v>0</v>
      </c>
      <c r="AU10" s="166">
        <f>AVERAGE(W10,AI10)</f>
        <v>0</v>
      </c>
      <c r="AV10" s="156">
        <f>AVERAGE(X10,AJ10)</f>
        <v>2114</v>
      </c>
      <c r="AW10" s="156">
        <f>AVERAGE(Y10,AK10)</f>
        <v>0</v>
      </c>
      <c r="AX10" s="156">
        <f>AVERAGE(Z10,AL10)</f>
        <v>0</v>
      </c>
      <c r="AY10" s="151"/>
      <c r="AZ10" s="152"/>
      <c r="BA10" s="166"/>
      <c r="BB10" s="157">
        <f>IF($O10="M-Sa",(AV10*5)+AW10+AX10,IF($O10="m-su",(AV10*5)+AW10+AX10,IF($O10="M-F",(AV10*5),IF($O10="T-Su",(AV10*4)+AW10+AX10,IF($O10="T-Sa",(AV10*4)+AW10,IF($O10="T-F",(AV10*4),IF($O10="Su-F",(AV10*5)+AW10+AX10,(AV10*5+AW10+AX10))))))))</f>
        <v>10570</v>
      </c>
      <c r="BC10" s="157">
        <f>IF($O10="M-Sa",(BB10/6),IF($O10="m-su",(BB10/7),IF($O10="M-F",(BB10/5),IF($O10="T-Su",(BB10/6),IF($O10="T-Sa",(BB10/5),IF($O10="T-F",(BB10/4),IF($O10="Su-F",(BB10/6),(BB10/7))))))))</f>
        <v>2114</v>
      </c>
      <c r="BD10" s="167">
        <f>IF($O10="M-Sa",(AY10*5)+AZ10+BA10,IF($O10="m-su",(AY10*5)+AZ10+BA10,IF($O10="M-F",(AY10*5),IF($O10="T-Su",(AY10*4)+AZ10+BA10,IF($O10="T-Sa",(AY10*4)+AZ10,IF($O10="T-F",(AY10*4),IF($O10="Su-F",(AY10*5)+AZ10+BA10,(AY10*5+AZ10+BA10))))))))</f>
        <v>0</v>
      </c>
      <c r="BF10" s="6"/>
    </row>
    <row r="11" spans="1:61" s="5" customFormat="1">
      <c r="A11" s="159" t="s">
        <v>424</v>
      </c>
      <c r="B11" s="1" t="s">
        <v>14</v>
      </c>
      <c r="C11" s="1" t="s">
        <v>15</v>
      </c>
      <c r="D11" s="36" t="s">
        <v>16</v>
      </c>
      <c r="E11" s="3" t="s">
        <v>38</v>
      </c>
      <c r="F11" s="140">
        <v>55032</v>
      </c>
      <c r="G11" s="1" t="s">
        <v>34</v>
      </c>
      <c r="H11" s="1" t="s">
        <v>26</v>
      </c>
      <c r="I11" s="1">
        <v>10</v>
      </c>
      <c r="J11" s="1">
        <v>160</v>
      </c>
      <c r="K11" s="1">
        <f>I11*J11</f>
        <v>1600</v>
      </c>
      <c r="L11" s="84"/>
      <c r="M11" s="84" t="s">
        <v>576</v>
      </c>
      <c r="N11" s="1" t="s">
        <v>35</v>
      </c>
      <c r="O11" s="3" t="s">
        <v>36</v>
      </c>
      <c r="P11" s="4" t="s">
        <v>27</v>
      </c>
      <c r="Q11" s="2" t="s">
        <v>23</v>
      </c>
      <c r="R11" s="144">
        <v>4581</v>
      </c>
      <c r="S11" s="142"/>
      <c r="T11" s="143"/>
      <c r="U11" s="142">
        <v>12</v>
      </c>
      <c r="V11" s="142"/>
      <c r="W11" s="142"/>
      <c r="X11" s="144">
        <f>R11+U11</f>
        <v>4593</v>
      </c>
      <c r="Y11" s="142">
        <f>S11+V11</f>
        <v>0</v>
      </c>
      <c r="Z11" s="143">
        <f>T11+W11</f>
        <v>0</v>
      </c>
      <c r="AA11" s="142"/>
      <c r="AB11" s="142"/>
      <c r="AC11" s="142"/>
      <c r="AD11" s="148">
        <v>4107</v>
      </c>
      <c r="AE11" s="149">
        <v>0</v>
      </c>
      <c r="AF11" s="150">
        <v>0</v>
      </c>
      <c r="AG11" s="149">
        <v>37</v>
      </c>
      <c r="AH11" s="149">
        <v>0</v>
      </c>
      <c r="AI11" s="149">
        <v>0</v>
      </c>
      <c r="AJ11" s="148">
        <f>AD11+AG11</f>
        <v>4144</v>
      </c>
      <c r="AK11" s="149">
        <f>AE11+AH11</f>
        <v>0</v>
      </c>
      <c r="AL11" s="150">
        <f>AF11+AI11</f>
        <v>0</v>
      </c>
      <c r="AM11" s="148"/>
      <c r="AN11" s="149"/>
      <c r="AO11" s="150"/>
      <c r="AP11" s="152">
        <f>AVERAGE(R11,AD11)</f>
        <v>4344</v>
      </c>
      <c r="AQ11" s="152">
        <f>AVERAGE(S11,AE11)</f>
        <v>0</v>
      </c>
      <c r="AR11" s="152">
        <f>AVERAGE(T11,AF11)</f>
        <v>0</v>
      </c>
      <c r="AS11" s="151">
        <f>AVERAGE(U11,AG11)</f>
        <v>24.5</v>
      </c>
      <c r="AT11" s="152">
        <f>AVERAGE(V11,AH11)</f>
        <v>0</v>
      </c>
      <c r="AU11" s="166">
        <f>AVERAGE(W11,AI11)</f>
        <v>0</v>
      </c>
      <c r="AV11" s="156">
        <f>AVERAGE(X11,AJ11)</f>
        <v>4368.5</v>
      </c>
      <c r="AW11" s="156">
        <f>AVERAGE(Y11,AK11)</f>
        <v>0</v>
      </c>
      <c r="AX11" s="156">
        <f>AVERAGE(Z11,AL11)</f>
        <v>0</v>
      </c>
      <c r="AY11" s="151"/>
      <c r="AZ11" s="152"/>
      <c r="BA11" s="166"/>
      <c r="BB11" s="157">
        <f>IF($O11="M-Sa",(AV11*5)+AW11+AX11,IF($O11="m-su",(AV11*5)+AW11+AX11,IF($O11="M-F",(AV11*5),IF($O11="T-Su",(AV11*4)+AW11+AX11,IF($O11="T-Sa",(AV11*4)+AW11,IF($O11="T-F",(AV11*4),IF($O11="Su-F",(AV11*5)+AW11+AX11,(AV11*5+AW11+AX11))))))))</f>
        <v>21842.5</v>
      </c>
      <c r="BC11" s="157">
        <f>IF($O11="M-Sa",(BB11/6),IF($O11="m-su",(BB11/7),IF($O11="M-F",(BB11/5),IF($O11="T-Su",(BB11/6),IF($O11="T-Sa",(BB11/5),IF($O11="T-F",(BB11/4),IF($O11="Su-F",(BB11/6),(BB11/7))))))))</f>
        <v>4368.5</v>
      </c>
      <c r="BD11" s="167">
        <f>IF($O11="M-Sa",(AY11*5)+AZ11+BA11,IF($O11="m-su",(AY11*5)+AZ11+BA11,IF($O11="M-F",(AY11*5),IF($O11="T-Su",(AY11*4)+AZ11+BA11,IF($O11="T-Sa",(AY11*4)+AZ11,IF($O11="T-F",(AY11*4),IF($O11="Su-F",(AY11*5)+AZ11+BA11,(AY11*5+AZ11+BA11))))))))</f>
        <v>0</v>
      </c>
      <c r="BF11" s="6"/>
    </row>
    <row r="12" spans="1:61" s="5" customFormat="1">
      <c r="A12" s="159" t="s">
        <v>39</v>
      </c>
      <c r="B12" s="1" t="s">
        <v>14</v>
      </c>
      <c r="C12" s="1" t="s">
        <v>15</v>
      </c>
      <c r="D12" s="36" t="s">
        <v>16</v>
      </c>
      <c r="E12" s="3" t="s">
        <v>40</v>
      </c>
      <c r="F12" s="140">
        <v>105999</v>
      </c>
      <c r="G12" s="1" t="s">
        <v>41</v>
      </c>
      <c r="H12" s="1" t="s">
        <v>19</v>
      </c>
      <c r="I12" s="1">
        <v>10</v>
      </c>
      <c r="J12" s="1">
        <v>301</v>
      </c>
      <c r="K12" s="1">
        <f>I12*J12</f>
        <v>3010</v>
      </c>
      <c r="L12" s="84" t="s">
        <v>578</v>
      </c>
      <c r="M12" s="84" t="s">
        <v>576</v>
      </c>
      <c r="N12" s="1" t="s">
        <v>20</v>
      </c>
      <c r="O12" s="3" t="s">
        <v>21</v>
      </c>
      <c r="P12" s="4" t="s">
        <v>42</v>
      </c>
      <c r="Q12" s="2" t="s">
        <v>23</v>
      </c>
      <c r="R12" s="144">
        <f>14126-593</f>
        <v>13533</v>
      </c>
      <c r="S12" s="142">
        <f>13477-591</f>
        <v>12886</v>
      </c>
      <c r="T12" s="143">
        <f>12037-484</f>
        <v>11553</v>
      </c>
      <c r="U12" s="142">
        <f>593+3944</f>
        <v>4537</v>
      </c>
      <c r="V12" s="142">
        <f>591+2000</f>
        <v>2591</v>
      </c>
      <c r="W12" s="142">
        <f>484+454</f>
        <v>938</v>
      </c>
      <c r="X12" s="144">
        <f>R12+U12</f>
        <v>18070</v>
      </c>
      <c r="Y12" s="142">
        <f>S12+V12</f>
        <v>15477</v>
      </c>
      <c r="Z12" s="143">
        <f>T12+W12</f>
        <v>12491</v>
      </c>
      <c r="AA12" s="142"/>
      <c r="AB12" s="142"/>
      <c r="AC12" s="142"/>
      <c r="AD12" s="148">
        <v>12116</v>
      </c>
      <c r="AE12" s="149">
        <v>12408</v>
      </c>
      <c r="AF12" s="150">
        <v>11268</v>
      </c>
      <c r="AG12" s="149">
        <v>5628</v>
      </c>
      <c r="AH12" s="149">
        <v>2735</v>
      </c>
      <c r="AI12" s="149">
        <v>1109</v>
      </c>
      <c r="AJ12" s="148">
        <f>AD12+AG12</f>
        <v>17744</v>
      </c>
      <c r="AK12" s="149">
        <f>AE12+AH12</f>
        <v>15143</v>
      </c>
      <c r="AL12" s="150">
        <f>AF12+AI12</f>
        <v>12377</v>
      </c>
      <c r="AM12" s="148">
        <v>224</v>
      </c>
      <c r="AN12" s="149">
        <v>236</v>
      </c>
      <c r="AO12" s="150">
        <v>237</v>
      </c>
      <c r="AP12" s="152">
        <f>AVERAGE(R12,AD12)</f>
        <v>12824.5</v>
      </c>
      <c r="AQ12" s="152">
        <f>AVERAGE(S12,AE12)</f>
        <v>12647</v>
      </c>
      <c r="AR12" s="152">
        <f>AVERAGE(T12,AF12)</f>
        <v>11410.5</v>
      </c>
      <c r="AS12" s="151">
        <f>AVERAGE(U12,AG12)</f>
        <v>5082.5</v>
      </c>
      <c r="AT12" s="152">
        <f>AVERAGE(V12,AH12)</f>
        <v>2663</v>
      </c>
      <c r="AU12" s="166">
        <f>AVERAGE(W12,AI12)</f>
        <v>1023.5</v>
      </c>
      <c r="AV12" s="156">
        <f>AVERAGE(X12,AJ12)</f>
        <v>17907</v>
      </c>
      <c r="AW12" s="156">
        <f>AVERAGE(Y12,AK12)</f>
        <v>15310</v>
      </c>
      <c r="AX12" s="156">
        <f>AVERAGE(Z12,AL12)</f>
        <v>12434</v>
      </c>
      <c r="AY12" s="151">
        <f>AVERAGE(AA12,AM12)</f>
        <v>224</v>
      </c>
      <c r="AZ12" s="152">
        <f>AVERAGE(AB12,AN12)</f>
        <v>236</v>
      </c>
      <c r="BA12" s="166">
        <f>AVERAGE(AC12,AO12)</f>
        <v>237</v>
      </c>
      <c r="BB12" s="157">
        <f>IF($O12="M-Sa",(AV12*5)+AW12+AX12,IF($O12="m-su",(AV12*5)+AW12+AX12,IF($O12="M-F",(AV12*5),IF($O12="T-Su",(AV12*4)+AW12+AX12,IF($O12="T-Sa",(AV12*4)+AW12,IF($O12="T-F",(AV12*4),IF($O12="Su-F",(AV12*5)+AW12+AX12,(AV12*5+AW12+AX12))))))))</f>
        <v>117279</v>
      </c>
      <c r="BC12" s="157">
        <f>IF($O12="M-Sa",(BB12/6),IF($O12="m-su",(BB12/7),IF($O12="M-F",(BB12/5),IF($O12="T-Su",(BB12/6),IF($O12="T-Sa",(BB12/5),IF($O12="T-F",(BB12/4),IF($O12="Su-F",(BB12/6),(BB12/7))))))))</f>
        <v>16754.142857142859</v>
      </c>
      <c r="BD12" s="167">
        <f>IF($O12="M-Sa",(AY12*5)+AZ12+BA12,IF($O12="m-su",(AY12*5)+AZ12+BA12,IF($O12="M-F",(AY12*5),IF($O12="T-Su",(AY12*4)+AZ12+BA12,IF($O12="T-Sa",(AY12*4)+AZ12,IF($O12="T-F",(AY12*4),IF($O12="Su-F",(AY12*5)+AZ12+BA12,(AY12*5+AZ12+BA12))))))))</f>
        <v>1593</v>
      </c>
      <c r="BF12" s="6"/>
    </row>
    <row r="13" spans="1:61" s="5" customFormat="1">
      <c r="A13" s="159" t="s">
        <v>43</v>
      </c>
      <c r="B13" s="1" t="s">
        <v>14</v>
      </c>
      <c r="C13" s="1" t="s">
        <v>15</v>
      </c>
      <c r="D13" s="36" t="s">
        <v>16</v>
      </c>
      <c r="E13" s="3" t="s">
        <v>44</v>
      </c>
      <c r="F13" s="140">
        <v>72807</v>
      </c>
      <c r="G13" s="1" t="s">
        <v>34</v>
      </c>
      <c r="H13" s="1" t="s">
        <v>19</v>
      </c>
      <c r="I13" s="1">
        <v>10</v>
      </c>
      <c r="J13" s="1">
        <v>302</v>
      </c>
      <c r="K13" s="1">
        <f>I13*J13</f>
        <v>3020</v>
      </c>
      <c r="L13" s="84" t="s">
        <v>579</v>
      </c>
      <c r="M13" s="84" t="s">
        <v>576</v>
      </c>
      <c r="N13" s="1" t="s">
        <v>35</v>
      </c>
      <c r="O13" s="3" t="s">
        <v>45</v>
      </c>
      <c r="P13" s="4" t="s">
        <v>42</v>
      </c>
      <c r="Q13" s="2" t="s">
        <v>23</v>
      </c>
      <c r="R13" s="144">
        <v>10481</v>
      </c>
      <c r="S13" s="142">
        <v>10481</v>
      </c>
      <c r="T13" s="143"/>
      <c r="U13" s="142">
        <v>341</v>
      </c>
      <c r="V13" s="142">
        <v>341</v>
      </c>
      <c r="W13" s="142"/>
      <c r="X13" s="144">
        <f>R13+U13</f>
        <v>10822</v>
      </c>
      <c r="Y13" s="142">
        <f>S13+V13</f>
        <v>10822</v>
      </c>
      <c r="Z13" s="143"/>
      <c r="AA13" s="142">
        <v>149</v>
      </c>
      <c r="AB13" s="142">
        <v>149</v>
      </c>
      <c r="AC13" s="142"/>
      <c r="AD13" s="148">
        <v>9506</v>
      </c>
      <c r="AE13" s="149">
        <v>9506</v>
      </c>
      <c r="AF13" s="150">
        <v>0</v>
      </c>
      <c r="AG13" s="149">
        <v>1249</v>
      </c>
      <c r="AH13" s="149">
        <v>1249</v>
      </c>
      <c r="AI13" s="149">
        <v>0</v>
      </c>
      <c r="AJ13" s="148">
        <f>AD13+AG13</f>
        <v>10755</v>
      </c>
      <c r="AK13" s="149">
        <f>AE13+AH13</f>
        <v>10755</v>
      </c>
      <c r="AL13" s="150">
        <f>AF13+AI13</f>
        <v>0</v>
      </c>
      <c r="AM13" s="148">
        <v>162</v>
      </c>
      <c r="AN13" s="149">
        <v>162</v>
      </c>
      <c r="AO13" s="150"/>
      <c r="AP13" s="152">
        <f>AVERAGE(R13,AD13)</f>
        <v>9993.5</v>
      </c>
      <c r="AQ13" s="152">
        <f>AVERAGE(S13,AE13)</f>
        <v>9993.5</v>
      </c>
      <c r="AR13" s="152">
        <f>AVERAGE(T13,AF13)</f>
        <v>0</v>
      </c>
      <c r="AS13" s="151">
        <f>AVERAGE(U13,AG13)</f>
        <v>795</v>
      </c>
      <c r="AT13" s="152">
        <f>AVERAGE(V13,AH13)</f>
        <v>795</v>
      </c>
      <c r="AU13" s="166">
        <f>AVERAGE(W13,AI13)</f>
        <v>0</v>
      </c>
      <c r="AV13" s="156">
        <f>AVERAGE(X13,AJ13)</f>
        <v>10788.5</v>
      </c>
      <c r="AW13" s="156">
        <f>AVERAGE(Y13,AK13)</f>
        <v>10788.5</v>
      </c>
      <c r="AX13" s="156">
        <f>AVERAGE(Z13,AL13)</f>
        <v>0</v>
      </c>
      <c r="AY13" s="151">
        <f>AVERAGE(AA13,AM13)</f>
        <v>155.5</v>
      </c>
      <c r="AZ13" s="152">
        <f>AVERAGE(AB13,AN13)</f>
        <v>155.5</v>
      </c>
      <c r="BA13" s="166"/>
      <c r="BB13" s="157">
        <f>IF($O13="M-Sa",(AV13*5)+AW13+AX13,IF($O13="m-su",(AV13*5)+AW13+AX13,IF($O13="M-F",(AV13*5),IF($O13="T-Su",(AV13*4)+AW13+AX13,IF($O13="T-Sa",(AV13*4)+AW13,IF($O13="T-F",(AV13*4),IF($O13="Su-F",(AV13*5)+AW13+AX13,(AV13*5+AW13+AX13))))))))</f>
        <v>64731</v>
      </c>
      <c r="BC13" s="157">
        <f>IF($O13="M-Sa",(BB13/6),IF($O13="m-su",(BB13/7),IF($O13="M-F",(BB13/5),IF($O13="T-Su",(BB13/6),IF($O13="T-Sa",(BB13/5),IF($O13="T-F",(BB13/4),IF($O13="Su-F",(BB13/6),(BB13/7))))))))</f>
        <v>10788.5</v>
      </c>
      <c r="BD13" s="167">
        <f>IF($O13="M-Sa",(AY13*5)+AZ13+BA13,IF($O13="m-su",(AY13*5)+AZ13+BA13,IF($O13="M-F",(AY13*5),IF($O13="T-Su",(AY13*4)+AZ13+BA13,IF($O13="T-Sa",(AY13*4)+AZ13,IF($O13="T-F",(AY13*4),IF($O13="Su-F",(AY13*5)+AZ13+BA13,(AY13*5+AZ13+BA13))))))))</f>
        <v>933</v>
      </c>
      <c r="BF13" s="6"/>
    </row>
    <row r="14" spans="1:61" s="8" customFormat="1">
      <c r="A14" s="159" t="s">
        <v>46</v>
      </c>
      <c r="B14" s="1" t="s">
        <v>14</v>
      </c>
      <c r="C14" s="1" t="s">
        <v>15</v>
      </c>
      <c r="D14" s="36" t="s">
        <v>16</v>
      </c>
      <c r="E14" s="3" t="s">
        <v>47</v>
      </c>
      <c r="F14" s="140">
        <v>90564</v>
      </c>
      <c r="G14" s="1" t="s">
        <v>34</v>
      </c>
      <c r="H14" s="1" t="s">
        <v>19</v>
      </c>
      <c r="I14" s="1">
        <v>6</v>
      </c>
      <c r="J14" s="1">
        <v>300</v>
      </c>
      <c r="K14" s="1">
        <f>I14*J14</f>
        <v>1800</v>
      </c>
      <c r="L14" s="84" t="s">
        <v>547</v>
      </c>
      <c r="M14" s="84" t="s">
        <v>576</v>
      </c>
      <c r="N14" s="1" t="s">
        <v>35</v>
      </c>
      <c r="O14" s="3" t="s">
        <v>45</v>
      </c>
      <c r="P14" s="4" t="s">
        <v>48</v>
      </c>
      <c r="Q14" s="2" t="s">
        <v>23</v>
      </c>
      <c r="R14" s="144">
        <f>11907-495</f>
        <v>11412</v>
      </c>
      <c r="S14" s="142">
        <f>11853-458</f>
        <v>11395</v>
      </c>
      <c r="T14" s="143"/>
      <c r="U14" s="142">
        <f>495+342</f>
        <v>837</v>
      </c>
      <c r="V14" s="142">
        <f>458+344</f>
        <v>802</v>
      </c>
      <c r="W14" s="142"/>
      <c r="X14" s="144">
        <f>R14+U14</f>
        <v>12249</v>
      </c>
      <c r="Y14" s="142">
        <f>S14+V14</f>
        <v>12197</v>
      </c>
      <c r="Z14" s="143"/>
      <c r="AA14" s="142"/>
      <c r="AB14" s="142"/>
      <c r="AC14" s="142"/>
      <c r="AD14" s="148">
        <v>10859</v>
      </c>
      <c r="AE14" s="149">
        <v>11165</v>
      </c>
      <c r="AF14" s="150">
        <v>0</v>
      </c>
      <c r="AG14" s="149">
        <v>1068</v>
      </c>
      <c r="AH14" s="149">
        <v>742</v>
      </c>
      <c r="AI14" s="149">
        <v>0</v>
      </c>
      <c r="AJ14" s="148">
        <f>AD14+AG14</f>
        <v>11927</v>
      </c>
      <c r="AK14" s="149">
        <f>AE14+AH14</f>
        <v>11907</v>
      </c>
      <c r="AL14" s="150">
        <f>AF14+AI14</f>
        <v>0</v>
      </c>
      <c r="AM14" s="148">
        <v>56</v>
      </c>
      <c r="AN14" s="149">
        <v>56</v>
      </c>
      <c r="AO14" s="150"/>
      <c r="AP14" s="152">
        <f>AVERAGE(R14,AD14)</f>
        <v>11135.5</v>
      </c>
      <c r="AQ14" s="152">
        <f>AVERAGE(S14,AE14)</f>
        <v>11280</v>
      </c>
      <c r="AR14" s="152">
        <f>AVERAGE(T14,AF14)</f>
        <v>0</v>
      </c>
      <c r="AS14" s="151">
        <f>AVERAGE(U14,AG14)</f>
        <v>952.5</v>
      </c>
      <c r="AT14" s="152">
        <f>AVERAGE(V14,AH14)</f>
        <v>772</v>
      </c>
      <c r="AU14" s="166">
        <f>AVERAGE(W14,AI14)</f>
        <v>0</v>
      </c>
      <c r="AV14" s="156">
        <f>AVERAGE(X14,AJ14)</f>
        <v>12088</v>
      </c>
      <c r="AW14" s="156">
        <f>AVERAGE(Y14,AK14)</f>
        <v>12052</v>
      </c>
      <c r="AX14" s="156">
        <f>AVERAGE(Z14,AL14)</f>
        <v>0</v>
      </c>
      <c r="AY14" s="151">
        <f>AVERAGE(AA14,AM14)</f>
        <v>56</v>
      </c>
      <c r="AZ14" s="152">
        <f>AVERAGE(AB14,AN14)</f>
        <v>56</v>
      </c>
      <c r="BA14" s="166"/>
      <c r="BB14" s="157">
        <f>IF($O14="M-Sa",(AV14*5)+AW14+AX14,IF($O14="m-su",(AV14*5)+AW14+AX14,IF($O14="M-F",(AV14*5),IF($O14="T-Su",(AV14*4)+AW14+AX14,IF($O14="T-Sa",(AV14*4)+AW14,IF($O14="T-F",(AV14*4),IF($O14="Su-F",(AV14*5)+AW14+AX14,(AV14*5+AW14+AX14))))))))</f>
        <v>72492</v>
      </c>
      <c r="BC14" s="157">
        <f>IF($O14="M-Sa",(BB14/6),IF($O14="m-su",(BB14/7),IF($O14="M-F",(BB14/5),IF($O14="T-Su",(BB14/6),IF($O14="T-Sa",(BB14/5),IF($O14="T-F",(BB14/4),IF($O14="Su-F",(BB14/6),(BB14/7))))))))</f>
        <v>12082</v>
      </c>
      <c r="BD14" s="167">
        <f>IF($O14="M-Sa",(AY14*5)+AZ14+BA14,IF($O14="m-su",(AY14*5)+AZ14+BA14,IF($O14="M-F",(AY14*5),IF($O14="T-Su",(AY14*4)+AZ14+BA14,IF($O14="T-Sa",(AY14*4)+AZ14,IF($O14="T-F",(AY14*4),IF($O14="Su-F",(AY14*5)+AZ14+BA14,(AY14*5+AZ14+BA14))))))))</f>
        <v>336</v>
      </c>
      <c r="BE14" s="10"/>
      <c r="BF14" s="11"/>
      <c r="BG14" s="10"/>
      <c r="BH14" s="10"/>
      <c r="BI14" s="5"/>
    </row>
    <row r="15" spans="1:61" s="16" customFormat="1">
      <c r="A15" s="357" t="s">
        <v>548</v>
      </c>
      <c r="B15" s="14" t="s">
        <v>14</v>
      </c>
      <c r="C15" s="14" t="s">
        <v>50</v>
      </c>
      <c r="D15" s="38" t="s">
        <v>51</v>
      </c>
      <c r="E15" s="17" t="s">
        <v>52</v>
      </c>
      <c r="F15" s="192">
        <v>25037</v>
      </c>
      <c r="G15" s="14" t="s">
        <v>53</v>
      </c>
      <c r="H15" s="14" t="s">
        <v>26</v>
      </c>
      <c r="I15" s="14">
        <v>7</v>
      </c>
      <c r="J15" s="14">
        <v>196</v>
      </c>
      <c r="K15" s="14">
        <f>I15*J15</f>
        <v>1372</v>
      </c>
      <c r="L15" s="204" t="s">
        <v>580</v>
      </c>
      <c r="M15" s="84" t="s">
        <v>576</v>
      </c>
      <c r="N15" s="14" t="s">
        <v>35</v>
      </c>
      <c r="O15" s="17" t="s">
        <v>36</v>
      </c>
      <c r="P15" s="18" t="s">
        <v>48</v>
      </c>
      <c r="Q15" s="15" t="s">
        <v>64</v>
      </c>
      <c r="R15" s="207"/>
      <c r="S15" s="205"/>
      <c r="T15" s="206"/>
      <c r="U15" s="205"/>
      <c r="V15" s="205"/>
      <c r="W15" s="205"/>
      <c r="X15" s="207"/>
      <c r="Y15" s="205"/>
      <c r="Z15" s="206"/>
      <c r="AA15" s="205"/>
      <c r="AB15" s="205"/>
      <c r="AC15" s="205"/>
      <c r="AD15" s="208"/>
      <c r="AE15" s="209"/>
      <c r="AF15" s="210"/>
      <c r="AG15" s="209"/>
      <c r="AH15" s="209"/>
      <c r="AI15" s="209"/>
      <c r="AJ15" s="208">
        <f>AD15+AG15</f>
        <v>0</v>
      </c>
      <c r="AK15" s="209">
        <f>AE15+AH15</f>
        <v>0</v>
      </c>
      <c r="AL15" s="210">
        <f>AF15+AI15</f>
        <v>0</v>
      </c>
      <c r="AM15" s="208"/>
      <c r="AN15" s="209"/>
      <c r="AO15" s="210"/>
      <c r="AP15" s="200">
        <v>2352</v>
      </c>
      <c r="AQ15" s="200">
        <v>0</v>
      </c>
      <c r="AR15" s="200">
        <v>0</v>
      </c>
      <c r="AS15" s="199">
        <v>0</v>
      </c>
      <c r="AT15" s="200">
        <v>0</v>
      </c>
      <c r="AU15" s="201">
        <v>11735</v>
      </c>
      <c r="AV15" s="202">
        <f>AP15+AS15</f>
        <v>2352</v>
      </c>
      <c r="AW15" s="202">
        <f>AQ15+AT15</f>
        <v>0</v>
      </c>
      <c r="AX15" s="202">
        <f>AR15+AU15</f>
        <v>11735</v>
      </c>
      <c r="AY15" s="199"/>
      <c r="AZ15" s="200"/>
      <c r="BA15" s="201"/>
      <c r="BB15" s="211">
        <f>(AV15*5)+AW15+AX15</f>
        <v>23495</v>
      </c>
      <c r="BC15" s="211">
        <f>BB15/5</f>
        <v>4699</v>
      </c>
      <c r="BD15" s="212">
        <f>IF($O15="M-Sa",(AY15*5)+AZ15+BA15,IF($O15="m-su",(AY15*5)+AZ15+BA15,IF($O15="M-F",(AY15*5),IF($O15="T-Su",(AY15*4)+AZ15+BA15,IF($O15="T-Sa",(AY15*4)+AZ15,IF($O15="T-F",(AY15*4),IF($O15="Su-F",(AY15*5)+AZ15+BA15,(AY15*5+AZ15+BA15))))))))</f>
        <v>0</v>
      </c>
      <c r="BF15" s="19" t="s">
        <v>54</v>
      </c>
      <c r="BH15" s="16" t="s">
        <v>55</v>
      </c>
    </row>
    <row r="16" spans="1:61" s="5" customFormat="1">
      <c r="A16" s="170" t="s">
        <v>425</v>
      </c>
      <c r="B16" s="171" t="s">
        <v>14</v>
      </c>
      <c r="C16" s="171" t="s">
        <v>50</v>
      </c>
      <c r="D16" s="172" t="s">
        <v>51</v>
      </c>
      <c r="E16" s="173" t="s">
        <v>56</v>
      </c>
      <c r="F16" s="174">
        <v>11583</v>
      </c>
      <c r="G16" s="171" t="s">
        <v>53</v>
      </c>
      <c r="H16" s="171" t="s">
        <v>19</v>
      </c>
      <c r="I16" s="171">
        <v>10</v>
      </c>
      <c r="J16" s="171">
        <v>301</v>
      </c>
      <c r="K16" s="171">
        <f>I16*J16</f>
        <v>3010</v>
      </c>
      <c r="L16" s="175"/>
      <c r="M16" s="84" t="s">
        <v>576</v>
      </c>
      <c r="N16" s="171" t="s">
        <v>35</v>
      </c>
      <c r="O16" s="173" t="s">
        <v>36</v>
      </c>
      <c r="P16" s="176" t="s">
        <v>57</v>
      </c>
      <c r="Q16" s="177" t="s">
        <v>64</v>
      </c>
      <c r="R16" s="180"/>
      <c r="S16" s="178"/>
      <c r="T16" s="179"/>
      <c r="U16" s="178"/>
      <c r="V16" s="178"/>
      <c r="W16" s="178"/>
      <c r="X16" s="180"/>
      <c r="Y16" s="178"/>
      <c r="Z16" s="179"/>
      <c r="AA16" s="178"/>
      <c r="AB16" s="178"/>
      <c r="AC16" s="178"/>
      <c r="AD16" s="181"/>
      <c r="AE16" s="182"/>
      <c r="AF16" s="183"/>
      <c r="AG16" s="182"/>
      <c r="AH16" s="182"/>
      <c r="AI16" s="182"/>
      <c r="AJ16" s="181">
        <f>AD16+AG16</f>
        <v>0</v>
      </c>
      <c r="AK16" s="182">
        <f>AE16+AH16</f>
        <v>0</v>
      </c>
      <c r="AL16" s="183">
        <f>AF16+AI16</f>
        <v>0</v>
      </c>
      <c r="AM16" s="181"/>
      <c r="AN16" s="182"/>
      <c r="AO16" s="183"/>
      <c r="AP16" s="185">
        <v>1470</v>
      </c>
      <c r="AQ16" s="185">
        <v>0</v>
      </c>
      <c r="AR16" s="185">
        <v>0</v>
      </c>
      <c r="AS16" s="184">
        <v>0</v>
      </c>
      <c r="AT16" s="185">
        <v>0</v>
      </c>
      <c r="AU16" s="186">
        <v>0</v>
      </c>
      <c r="AV16" s="187">
        <f>AP16+AS16</f>
        <v>1470</v>
      </c>
      <c r="AW16" s="187">
        <f>AQ16+AT16</f>
        <v>0</v>
      </c>
      <c r="AX16" s="187">
        <f>AR16+AU16</f>
        <v>0</v>
      </c>
      <c r="AY16" s="184"/>
      <c r="AZ16" s="185"/>
      <c r="BA16" s="186"/>
      <c r="BB16" s="188">
        <f>IF($O16="M-Sa",(AV16*5)+AW16+AX16,IF($O16="m-su",(AV16*5)+AW16+AX16,IF($O16="M-F",(AV16*5),IF($O16="T-Su",(AV16*4)+AW16+AX16,IF($O16="T-Sa",(AV16*4)+AW16,IF($O16="T-F",(AV16*4),IF($O16="Su-F",(AV16*5)+AW16+AX16,(AV16*5+AW16+AX16))))))))</f>
        <v>7350</v>
      </c>
      <c r="BC16" s="188">
        <f>IF($O16="M-Sa",(BB16/6),IF($O16="m-su",(BB16/7),IF($O16="M-F",(BB16/5),IF($O16="T-Su",(BB16/6),IF($O16="T-Sa",(BB16/5),IF($O16="T-F",(BB16/4),IF($O16="Su-F",(BB16/6),(BB16/7))))))))</f>
        <v>1470</v>
      </c>
      <c r="BD16" s="189">
        <f>IF($O16="M-Sa",(AY16*5)+AZ16+BA16,IF($O16="m-su",(AY16*5)+AZ16+BA16,IF($O16="M-F",(AY16*5),IF($O16="T-Su",(AY16*4)+AZ16+BA16,IF($O16="T-Sa",(AY16*4)+AZ16,IF($O16="T-F",(AY16*4),IF($O16="Su-F",(AY16*5)+AZ16+BA16,(AY16*5+AZ16+BA16))))))))</f>
        <v>0</v>
      </c>
      <c r="BE16" s="8"/>
      <c r="BF16" s="190" t="s">
        <v>58</v>
      </c>
      <c r="BG16" s="8"/>
      <c r="BH16" s="8"/>
      <c r="BI16" s="8"/>
    </row>
    <row r="17" spans="1:61" s="5" customFormat="1">
      <c r="A17" s="159" t="s">
        <v>426</v>
      </c>
      <c r="B17" s="1" t="s">
        <v>14</v>
      </c>
      <c r="C17" s="1" t="s">
        <v>50</v>
      </c>
      <c r="D17" s="36" t="s">
        <v>51</v>
      </c>
      <c r="E17" s="3" t="s">
        <v>60</v>
      </c>
      <c r="F17" s="140">
        <v>26380</v>
      </c>
      <c r="G17" s="1" t="s">
        <v>53</v>
      </c>
      <c r="H17" s="1" t="s">
        <v>19</v>
      </c>
      <c r="I17" s="1">
        <v>10</v>
      </c>
      <c r="J17" s="1">
        <v>300</v>
      </c>
      <c r="K17" s="1">
        <f>I17*J17</f>
        <v>3000</v>
      </c>
      <c r="L17" s="84"/>
      <c r="M17" s="84" t="s">
        <v>576</v>
      </c>
      <c r="N17" s="1" t="s">
        <v>35</v>
      </c>
      <c r="O17" s="3" t="s">
        <v>36</v>
      </c>
      <c r="P17" s="4" t="s">
        <v>57</v>
      </c>
      <c r="Q17" s="2" t="s">
        <v>64</v>
      </c>
      <c r="R17" s="144"/>
      <c r="S17" s="142"/>
      <c r="T17" s="143"/>
      <c r="U17" s="142"/>
      <c r="V17" s="142"/>
      <c r="W17" s="142"/>
      <c r="X17" s="144"/>
      <c r="Y17" s="142"/>
      <c r="Z17" s="143"/>
      <c r="AA17" s="142"/>
      <c r="AB17" s="142"/>
      <c r="AC17" s="142"/>
      <c r="AD17" s="148"/>
      <c r="AE17" s="149"/>
      <c r="AF17" s="150"/>
      <c r="AG17" s="149"/>
      <c r="AH17" s="149"/>
      <c r="AI17" s="149"/>
      <c r="AJ17" s="148">
        <f>AD17+AG17</f>
        <v>0</v>
      </c>
      <c r="AK17" s="149">
        <f>AE17+AH17</f>
        <v>0</v>
      </c>
      <c r="AL17" s="150">
        <f>AF17+AI17</f>
        <v>0</v>
      </c>
      <c r="AM17" s="148"/>
      <c r="AN17" s="149"/>
      <c r="AO17" s="150"/>
      <c r="AP17" s="152">
        <v>2143</v>
      </c>
      <c r="AQ17" s="152">
        <v>0</v>
      </c>
      <c r="AR17" s="152">
        <v>0</v>
      </c>
      <c r="AS17" s="151">
        <v>0</v>
      </c>
      <c r="AT17" s="152">
        <v>0</v>
      </c>
      <c r="AU17" s="166">
        <v>0</v>
      </c>
      <c r="AV17" s="156">
        <f>AP17+AS17</f>
        <v>2143</v>
      </c>
      <c r="AW17" s="156">
        <f>AQ17+AT17</f>
        <v>0</v>
      </c>
      <c r="AX17" s="156">
        <f>AR17+AU17</f>
        <v>0</v>
      </c>
      <c r="AY17" s="151"/>
      <c r="AZ17" s="152"/>
      <c r="BA17" s="166"/>
      <c r="BB17" s="157">
        <f>IF($O17="M-Sa",(AV17*5)+AW17+AX17,IF($O17="m-su",(AV17*5)+AW17+AX17,IF($O17="M-F",(AV17*5),IF($O17="T-Su",(AV17*4)+AW17+AX17,IF($O17="T-Sa",(AV17*4)+AW17,IF($O17="T-F",(AV17*4),IF($O17="Su-F",(AV17*5)+AW17+AX17,(AV17*5+AW17+AX17))))))))</f>
        <v>10715</v>
      </c>
      <c r="BC17" s="157">
        <f>IF($O17="M-Sa",(BB17/6),IF($O17="m-su",(BB17/7),IF($O17="M-F",(BB17/5),IF($O17="T-Su",(BB17/6),IF($O17="T-Sa",(BB17/5),IF($O17="T-F",(BB17/4),IF($O17="Su-F",(BB17/6),(BB17/7))))))))</f>
        <v>2143</v>
      </c>
      <c r="BD17" s="167">
        <f>IF($O17="M-Sa",(AY17*5)+AZ17+BA17,IF($O17="m-su",(AY17*5)+AZ17+BA17,IF($O17="M-F",(AY17*5),IF($O17="T-Su",(AY17*4)+AZ17+BA17,IF($O17="T-Sa",(AY17*4)+AZ17,IF($O17="T-F",(AY17*4),IF($O17="Su-F",(AY17*5)+AZ17+BA17,(AY17*5+AZ17+BA17))))))))</f>
        <v>0</v>
      </c>
      <c r="BF17" s="12" t="s">
        <v>61</v>
      </c>
      <c r="BG17" s="9"/>
      <c r="BH17" s="13" t="s">
        <v>55</v>
      </c>
    </row>
    <row r="18" spans="1:61" s="5" customFormat="1">
      <c r="A18" s="170" t="s">
        <v>62</v>
      </c>
      <c r="B18" s="171" t="s">
        <v>14</v>
      </c>
      <c r="C18" s="171" t="s">
        <v>50</v>
      </c>
      <c r="D18" s="172" t="s">
        <v>51</v>
      </c>
      <c r="E18" s="173" t="s">
        <v>63</v>
      </c>
      <c r="F18" s="174">
        <v>98754</v>
      </c>
      <c r="G18" s="171" t="s">
        <v>34</v>
      </c>
      <c r="H18" s="171" t="s">
        <v>19</v>
      </c>
      <c r="I18" s="171">
        <v>10</v>
      </c>
      <c r="J18" s="171">
        <v>301</v>
      </c>
      <c r="K18" s="171">
        <f>I18*J18</f>
        <v>3010</v>
      </c>
      <c r="L18" s="175"/>
      <c r="M18" s="84" t="s">
        <v>576</v>
      </c>
      <c r="N18" s="171" t="s">
        <v>20</v>
      </c>
      <c r="O18" s="173" t="s">
        <v>45</v>
      </c>
      <c r="P18" s="176" t="s">
        <v>57</v>
      </c>
      <c r="Q18" s="177" t="s">
        <v>64</v>
      </c>
      <c r="R18" s="180"/>
      <c r="S18" s="178"/>
      <c r="T18" s="179"/>
      <c r="U18" s="178"/>
      <c r="V18" s="178"/>
      <c r="W18" s="178"/>
      <c r="X18" s="180"/>
      <c r="Y18" s="178"/>
      <c r="Z18" s="179"/>
      <c r="AA18" s="178"/>
      <c r="AB18" s="178"/>
      <c r="AC18" s="178"/>
      <c r="AD18" s="181"/>
      <c r="AE18" s="182"/>
      <c r="AF18" s="183"/>
      <c r="AG18" s="182"/>
      <c r="AH18" s="182"/>
      <c r="AI18" s="182"/>
      <c r="AJ18" s="148">
        <f>AD18+AG18</f>
        <v>0</v>
      </c>
      <c r="AK18" s="149">
        <f>AE18+AH18</f>
        <v>0</v>
      </c>
      <c r="AL18" s="150">
        <f>AF18+AI18</f>
        <v>0</v>
      </c>
      <c r="AM18" s="181"/>
      <c r="AN18" s="182"/>
      <c r="AO18" s="183"/>
      <c r="AP18" s="185">
        <v>9235</v>
      </c>
      <c r="AQ18" s="185">
        <v>9235</v>
      </c>
      <c r="AR18" s="185">
        <v>0</v>
      </c>
      <c r="AS18" s="184">
        <v>17950</v>
      </c>
      <c r="AT18" s="185">
        <v>17950</v>
      </c>
      <c r="AU18" s="186">
        <v>0</v>
      </c>
      <c r="AV18" s="156">
        <f>AP18+AS18</f>
        <v>27185</v>
      </c>
      <c r="AW18" s="156">
        <f>AQ18+AT18</f>
        <v>27185</v>
      </c>
      <c r="AX18" s="156">
        <f>AR18+AU18</f>
        <v>0</v>
      </c>
      <c r="AY18" s="184">
        <v>83</v>
      </c>
      <c r="AZ18" s="185">
        <v>83</v>
      </c>
      <c r="BA18" s="186"/>
      <c r="BB18" s="188">
        <f>IF($O18="M-Sa",(AV18*5)+AW18+AX18,IF($O18="m-su",(AV18*5)+AW18+AX18,IF($O18="M-F",(AV18*5),IF($O18="T-Su",(AV18*4)+AW18+AX18,IF($O18="T-Sa",(AV18*4)+AW18,IF($O18="T-F",(AV18*4),IF($O18="Su-F",(AV18*5)+AW18+AX18,(AV18*5+AW18+AX18))))))))</f>
        <v>163110</v>
      </c>
      <c r="BC18" s="188">
        <f>IF($O18="M-Sa",(BB18/6),IF($O18="m-su",(BB18/7),IF($O18="M-F",(BB18/5),IF($O18="T-Su",(BB18/6),IF($O18="T-Sa",(BB18/5),IF($O18="T-F",(BB18/4),IF($O18="Su-F",(BB18/6),(BB18/7))))))))</f>
        <v>27185</v>
      </c>
      <c r="BD18" s="167">
        <f>IF($O18="M-Sa",(AY18*5)+AZ18+BA18,IF($O18="m-su",(AY18*5)+AZ18+BA18,IF($O18="M-F",(AY18*5),IF($O18="T-Su",(AY18*4)+AZ18+BA18,IF($O18="T-Sa",(AY18*4)+AZ18,IF($O18="T-F",(AY18*4),IF($O18="Su-F",(AY18*5)+AZ18+BA18,(AY18*5+AZ18+BA18))))))))</f>
        <v>498</v>
      </c>
      <c r="BE18" s="8"/>
      <c r="BF18" s="190" t="s">
        <v>65</v>
      </c>
      <c r="BG18" s="8"/>
      <c r="BH18" s="8"/>
      <c r="BI18" s="8"/>
    </row>
    <row r="19" spans="1:61" s="5" customFormat="1">
      <c r="A19" s="159" t="s">
        <v>427</v>
      </c>
      <c r="B19" s="1" t="s">
        <v>14</v>
      </c>
      <c r="C19" s="1" t="s">
        <v>50</v>
      </c>
      <c r="D19" s="36" t="s">
        <v>51</v>
      </c>
      <c r="E19" s="3" t="s">
        <v>66</v>
      </c>
      <c r="F19" s="140">
        <v>184700</v>
      </c>
      <c r="G19" s="1" t="s">
        <v>41</v>
      </c>
      <c r="H19" s="1" t="s">
        <v>19</v>
      </c>
      <c r="I19" s="1">
        <v>10</v>
      </c>
      <c r="J19" s="1">
        <v>301</v>
      </c>
      <c r="K19" s="1">
        <f>I19*J19</f>
        <v>3010</v>
      </c>
      <c r="L19" s="84"/>
      <c r="M19" s="84" t="s">
        <v>576</v>
      </c>
      <c r="N19" s="1" t="s">
        <v>20</v>
      </c>
      <c r="O19" s="3" t="s">
        <v>21</v>
      </c>
      <c r="P19" s="4" t="s">
        <v>67</v>
      </c>
      <c r="Q19" s="2" t="s">
        <v>23</v>
      </c>
      <c r="R19" s="144">
        <f>11422-1580</f>
        <v>9842</v>
      </c>
      <c r="S19" s="142">
        <f>11499-1509</f>
        <v>9990</v>
      </c>
      <c r="T19" s="143">
        <f>11163-1506</f>
        <v>9657</v>
      </c>
      <c r="U19" s="142">
        <f>1580+258</f>
        <v>1838</v>
      </c>
      <c r="V19" s="142">
        <f>1509+257</f>
        <v>1766</v>
      </c>
      <c r="W19" s="142">
        <f>1506+257</f>
        <v>1763</v>
      </c>
      <c r="X19" s="144">
        <f>R19+U19</f>
        <v>11680</v>
      </c>
      <c r="Y19" s="142">
        <f>S19+V19</f>
        <v>11756</v>
      </c>
      <c r="Z19" s="143">
        <f>T19+W19</f>
        <v>11420</v>
      </c>
      <c r="AA19" s="142"/>
      <c r="AB19" s="142"/>
      <c r="AC19" s="142"/>
      <c r="AD19" s="148">
        <v>9522</v>
      </c>
      <c r="AE19" s="149">
        <v>9800</v>
      </c>
      <c r="AF19" s="150">
        <v>9509</v>
      </c>
      <c r="AG19" s="149">
        <v>1949</v>
      </c>
      <c r="AH19" s="149">
        <v>1755</v>
      </c>
      <c r="AI19" s="149">
        <v>1748</v>
      </c>
      <c r="AJ19" s="148">
        <f>AD19+AG19</f>
        <v>11471</v>
      </c>
      <c r="AK19" s="149">
        <f>AE19+AH19</f>
        <v>11555</v>
      </c>
      <c r="AL19" s="150">
        <f>AF19+AI19</f>
        <v>11257</v>
      </c>
      <c r="AM19" s="148">
        <v>99</v>
      </c>
      <c r="AN19" s="149">
        <v>98</v>
      </c>
      <c r="AO19" s="150">
        <v>98</v>
      </c>
      <c r="AP19" s="152">
        <f>AVERAGE(R19,AD19)</f>
        <v>9682</v>
      </c>
      <c r="AQ19" s="152">
        <f>AVERAGE(S19,AE19)</f>
        <v>9895</v>
      </c>
      <c r="AR19" s="152">
        <f>AVERAGE(T19,AF19)</f>
        <v>9583</v>
      </c>
      <c r="AS19" s="151">
        <f>AVERAGE(U19,AG19)</f>
        <v>1893.5</v>
      </c>
      <c r="AT19" s="152">
        <f>AVERAGE(V19,AH19)</f>
        <v>1760.5</v>
      </c>
      <c r="AU19" s="166">
        <f>AVERAGE(W19,AI19)</f>
        <v>1755.5</v>
      </c>
      <c r="AV19" s="156">
        <f>AVERAGE(X19,AJ19)</f>
        <v>11575.5</v>
      </c>
      <c r="AW19" s="156">
        <f>AVERAGE(Y19,AK19)</f>
        <v>11655.5</v>
      </c>
      <c r="AX19" s="156">
        <f>AVERAGE(Z19,AL19)</f>
        <v>11338.5</v>
      </c>
      <c r="AY19" s="151">
        <f>AVERAGE(AA19,AM19)</f>
        <v>99</v>
      </c>
      <c r="AZ19" s="152">
        <f>AVERAGE(AB19,AN19)</f>
        <v>98</v>
      </c>
      <c r="BA19" s="166">
        <f>AVERAGE(AC19,AO19)</f>
        <v>98</v>
      </c>
      <c r="BB19" s="157">
        <f>IF($O19="M-Sa",(AV19*5)+AW19+AX19,IF($O19="m-su",(AV19*5)+AW19+AX19,IF($O19="M-F",(AV19*5),IF($O19="T-Su",(AV19*4)+AW19+AX19,IF($O19="T-Sa",(AV19*4)+AW19,IF($O19="T-F",(AV19*4),IF($O19="Su-F",(AV19*5)+AW19+AX19,(AV19*5+AW19+AX19))))))))</f>
        <v>80871.5</v>
      </c>
      <c r="BC19" s="157">
        <f>IF($O19="M-Sa",(BB19/6),IF($O19="m-su",(BB19/7),IF($O19="M-F",(BB19/5),IF($O19="T-Su",(BB19/6),IF($O19="T-Sa",(BB19/5),IF($O19="T-F",(BB19/4),IF($O19="Su-F",(BB19/6),(BB19/7))))))))</f>
        <v>11553.071428571429</v>
      </c>
      <c r="BD19" s="167">
        <f>IF($O19="M-Sa",(AY19*5)+AZ19+BA19,IF($O19="m-su",(AY19*5)+AZ19+BA19,IF($O19="M-F",(AY19*5),IF($O19="T-Su",(AY19*4)+AZ19+BA19,IF($O19="T-Sa",(AY19*4)+AZ19,IF($O19="T-F",(AY19*4),IF($O19="Su-F",(AY19*5)+AZ19+BA19,(AY19*5+AZ19+BA19))))))))</f>
        <v>691</v>
      </c>
      <c r="BF19" s="6"/>
    </row>
    <row r="20" spans="1:61" s="5" customFormat="1">
      <c r="A20" s="159" t="s">
        <v>428</v>
      </c>
      <c r="B20" s="1" t="s">
        <v>14</v>
      </c>
      <c r="C20" s="1" t="s">
        <v>50</v>
      </c>
      <c r="D20" s="36" t="s">
        <v>51</v>
      </c>
      <c r="E20" s="3" t="s">
        <v>69</v>
      </c>
      <c r="F20" s="140">
        <v>6723</v>
      </c>
      <c r="G20" s="1" t="s">
        <v>53</v>
      </c>
      <c r="H20" s="1" t="s">
        <v>26</v>
      </c>
      <c r="I20" s="1">
        <v>7</v>
      </c>
      <c r="J20" s="1">
        <v>196</v>
      </c>
      <c r="K20" s="1">
        <f>I20*J20</f>
        <v>1372</v>
      </c>
      <c r="L20" s="84" t="s">
        <v>580</v>
      </c>
      <c r="M20" s="84" t="s">
        <v>576</v>
      </c>
      <c r="N20" s="1" t="s">
        <v>35</v>
      </c>
      <c r="O20" s="3" t="s">
        <v>36</v>
      </c>
      <c r="P20" s="4" t="s">
        <v>48</v>
      </c>
      <c r="Q20" s="2" t="s">
        <v>64</v>
      </c>
      <c r="R20" s="144"/>
      <c r="S20" s="142"/>
      <c r="T20" s="143"/>
      <c r="U20" s="142"/>
      <c r="V20" s="142"/>
      <c r="W20" s="142"/>
      <c r="X20" s="144"/>
      <c r="Y20" s="142"/>
      <c r="Z20" s="143"/>
      <c r="AA20" s="142"/>
      <c r="AB20" s="142"/>
      <c r="AC20" s="142"/>
      <c r="AD20" s="148"/>
      <c r="AE20" s="149"/>
      <c r="AF20" s="150"/>
      <c r="AG20" s="149"/>
      <c r="AH20" s="149"/>
      <c r="AI20" s="149"/>
      <c r="AJ20" s="148">
        <f>AD20+AG20</f>
        <v>0</v>
      </c>
      <c r="AK20" s="149">
        <f>AE20+AH20</f>
        <v>0</v>
      </c>
      <c r="AL20" s="150">
        <f>AF20+AI20</f>
        <v>0</v>
      </c>
      <c r="AM20" s="148"/>
      <c r="AN20" s="149"/>
      <c r="AO20" s="150"/>
      <c r="AP20" s="152">
        <v>1132</v>
      </c>
      <c r="AQ20" s="152">
        <v>0</v>
      </c>
      <c r="AR20" s="152">
        <v>0</v>
      </c>
      <c r="AS20" s="151">
        <v>0</v>
      </c>
      <c r="AT20" s="152">
        <v>0</v>
      </c>
      <c r="AU20" s="166">
        <v>0</v>
      </c>
      <c r="AV20" s="156">
        <f>AP20+AS20</f>
        <v>1132</v>
      </c>
      <c r="AW20" s="156">
        <f>AQ20+AT20</f>
        <v>0</v>
      </c>
      <c r="AX20" s="156">
        <f>AR20+AU20</f>
        <v>0</v>
      </c>
      <c r="AY20" s="151"/>
      <c r="AZ20" s="152"/>
      <c r="BA20" s="166"/>
      <c r="BB20" s="157">
        <f>IF($O20="M-Sa",(AV20*5)+AW20+AX20,IF($O20="m-su",(AV20*5)+AW20+AX20,IF($O20="M-F",(AV20*5),IF($O20="T-Su",(AV20*4)+AW20+AX20,IF($O20="T-Sa",(AV20*4)+AW20,IF($O20="T-F",(AV20*4),IF($O20="Su-F",(AV20*5)+AW20+AX20,(AV20*5+AW20+AX20))))))))</f>
        <v>5660</v>
      </c>
      <c r="BC20" s="157">
        <f>IF($O20="M-Sa",(BB20/6),IF($O20="m-su",(BB20/7),IF($O20="M-F",(BB20/5),IF($O20="T-Su",(BB20/6),IF($O20="T-Sa",(BB20/5),IF($O20="T-F",(BB20/4),IF($O20="Su-F",(BB20/6),(BB20/7))))))))</f>
        <v>1132</v>
      </c>
      <c r="BD20" s="167">
        <f>IF($O20="M-Sa",(AY20*5)+AZ20+BA20,IF($O20="m-su",(AY20*5)+AZ20+BA20,IF($O20="M-F",(AY20*5),IF($O20="T-Su",(AY20*4)+AZ20+BA20,IF($O20="T-Sa",(AY20*4)+AZ20,IF($O20="T-F",(AY20*4),IF($O20="Su-F",(AY20*5)+AZ20+BA20,(AY20*5+AZ20+BA20))))))))</f>
        <v>0</v>
      </c>
      <c r="BF20" s="6" t="s">
        <v>54</v>
      </c>
      <c r="BH20" s="5" t="s">
        <v>55</v>
      </c>
    </row>
    <row r="21" spans="1:61" s="16" customFormat="1">
      <c r="A21" s="191" t="s">
        <v>549</v>
      </c>
      <c r="B21" s="14" t="s">
        <v>14</v>
      </c>
      <c r="C21" s="14" t="s">
        <v>50</v>
      </c>
      <c r="D21" s="38" t="s">
        <v>51</v>
      </c>
      <c r="E21" s="17" t="s">
        <v>71</v>
      </c>
      <c r="F21" s="192">
        <v>98021</v>
      </c>
      <c r="G21" s="14" t="s">
        <v>34</v>
      </c>
      <c r="H21" s="14" t="s">
        <v>19</v>
      </c>
      <c r="I21" s="14">
        <v>10</v>
      </c>
      <c r="J21" s="14">
        <v>301</v>
      </c>
      <c r="K21" s="14">
        <f>I21*J21</f>
        <v>3010</v>
      </c>
      <c r="L21" s="204"/>
      <c r="M21" s="84" t="s">
        <v>576</v>
      </c>
      <c r="N21" s="14" t="s">
        <v>20</v>
      </c>
      <c r="O21" s="17" t="s">
        <v>45</v>
      </c>
      <c r="P21" s="18" t="s">
        <v>57</v>
      </c>
      <c r="Q21" s="15" t="s">
        <v>23</v>
      </c>
      <c r="R21" s="207">
        <f>((4970*4)+4728)/5</f>
        <v>4921.6000000000004</v>
      </c>
      <c r="S21" s="205">
        <v>4970</v>
      </c>
      <c r="T21" s="206"/>
      <c r="U21" s="205">
        <v>5216</v>
      </c>
      <c r="V21" s="205">
        <v>5216</v>
      </c>
      <c r="W21" s="205">
        <v>29430</v>
      </c>
      <c r="X21" s="207">
        <f>R21+U21</f>
        <v>10137.6</v>
      </c>
      <c r="Y21" s="205">
        <f>S21+V21</f>
        <v>10186</v>
      </c>
      <c r="Z21" s="206"/>
      <c r="AA21" s="205"/>
      <c r="AB21" s="205"/>
      <c r="AC21" s="205"/>
      <c r="AD21" s="208">
        <v>4398</v>
      </c>
      <c r="AE21" s="209">
        <f>((4453*4)+4178)/5</f>
        <v>4398</v>
      </c>
      <c r="AF21" s="210"/>
      <c r="AG21" s="209">
        <v>570</v>
      </c>
      <c r="AH21" s="209">
        <v>570</v>
      </c>
      <c r="AI21" s="209">
        <v>29892</v>
      </c>
      <c r="AJ21" s="208">
        <f>AD21+AG21</f>
        <v>4968</v>
      </c>
      <c r="AK21" s="209">
        <f>AE21+AH21</f>
        <v>4968</v>
      </c>
      <c r="AL21" s="210">
        <f>AF21+AI21</f>
        <v>29892</v>
      </c>
      <c r="AM21" s="208"/>
      <c r="AN21" s="209"/>
      <c r="AO21" s="210"/>
      <c r="AP21" s="200">
        <f>AVERAGE(R21,AD21)</f>
        <v>4659.8</v>
      </c>
      <c r="AQ21" s="200">
        <f>AVERAGE(S21,AE21)</f>
        <v>4684</v>
      </c>
      <c r="AR21" s="200"/>
      <c r="AS21" s="199">
        <f>AVERAGE(U21,AG21)</f>
        <v>2893</v>
      </c>
      <c r="AT21" s="200">
        <f>AVERAGE(V21,AH21)</f>
        <v>2893</v>
      </c>
      <c r="AU21" s="201"/>
      <c r="AV21" s="202">
        <f>AVERAGE(X21,AJ21)</f>
        <v>7552.8</v>
      </c>
      <c r="AW21" s="202">
        <f>AVERAGE(Y21,AK21)</f>
        <v>7577</v>
      </c>
      <c r="AX21" s="202">
        <f>AVERAGE(Z21,AL21)</f>
        <v>29892</v>
      </c>
      <c r="AY21" s="199"/>
      <c r="AZ21" s="200"/>
      <c r="BA21" s="201"/>
      <c r="BB21" s="211">
        <f>(AV21*5)+AW21+AX21</f>
        <v>75233</v>
      </c>
      <c r="BC21" s="211">
        <f>BB21/5</f>
        <v>15046.6</v>
      </c>
      <c r="BD21" s="212">
        <f>IF($O21="M-Sa",(AY21*5)+AZ21+BA21,IF($O21="m-su",(AY21*5)+AZ21+BA21,IF($O21="M-F",(AY21*5),IF($O21="T-Su",(AY21*4)+AZ21+BA21,IF($O21="T-Sa",(AY21*4)+AZ21,IF($O21="T-F",(AY21*4),IF($O21="Su-F",(AY21*5)+AZ21+BA21,(AY21*5+AZ21+BA21))))))))</f>
        <v>0</v>
      </c>
      <c r="BF21" s="19"/>
    </row>
    <row r="22" spans="1:61" s="16" customFormat="1">
      <c r="A22" s="159" t="s">
        <v>223</v>
      </c>
      <c r="B22" s="1" t="s">
        <v>14</v>
      </c>
      <c r="C22" s="1" t="s">
        <v>50</v>
      </c>
      <c r="D22" s="36" t="s">
        <v>51</v>
      </c>
      <c r="E22" s="3" t="s">
        <v>71</v>
      </c>
      <c r="F22" s="140">
        <v>98021</v>
      </c>
      <c r="G22" s="1" t="s">
        <v>34</v>
      </c>
      <c r="H22" s="1" t="s">
        <v>26</v>
      </c>
      <c r="I22" s="1">
        <v>7</v>
      </c>
      <c r="J22" s="1">
        <v>196</v>
      </c>
      <c r="K22" s="1">
        <f>I22*J22</f>
        <v>1372</v>
      </c>
      <c r="L22" s="1"/>
      <c r="M22" s="1" t="s">
        <v>577</v>
      </c>
      <c r="N22" s="1" t="s">
        <v>20</v>
      </c>
      <c r="O22" s="3" t="s">
        <v>79</v>
      </c>
      <c r="P22" s="4" t="s">
        <v>48</v>
      </c>
      <c r="Q22" s="2" t="s">
        <v>353</v>
      </c>
      <c r="R22" s="162"/>
      <c r="S22" s="160"/>
      <c r="T22" s="161"/>
      <c r="U22" s="160"/>
      <c r="V22" s="160"/>
      <c r="W22" s="160"/>
      <c r="X22" s="162"/>
      <c r="Y22" s="160"/>
      <c r="Z22" s="161"/>
      <c r="AA22" s="160"/>
      <c r="AB22" s="160"/>
      <c r="AC22" s="160"/>
      <c r="AD22" s="163"/>
      <c r="AE22" s="164"/>
      <c r="AF22" s="165"/>
      <c r="AG22" s="164"/>
      <c r="AH22" s="164"/>
      <c r="AI22" s="164"/>
      <c r="AJ22" s="163"/>
      <c r="AK22" s="164"/>
      <c r="AL22" s="165"/>
      <c r="AM22" s="163"/>
      <c r="AN22" s="164"/>
      <c r="AO22" s="165"/>
      <c r="AP22" s="1"/>
      <c r="AQ22" s="1"/>
      <c r="AR22" s="1"/>
      <c r="AS22" s="151">
        <v>4300</v>
      </c>
      <c r="AT22" s="152">
        <v>0</v>
      </c>
      <c r="AU22" s="166">
        <v>0</v>
      </c>
      <c r="AV22" s="156">
        <f>AP22+AS22</f>
        <v>4300</v>
      </c>
      <c r="AW22" s="156">
        <f>AQ22+AT22</f>
        <v>0</v>
      </c>
      <c r="AX22" s="156"/>
      <c r="AY22" s="36"/>
      <c r="AZ22" s="1"/>
      <c r="BA22" s="37"/>
      <c r="BB22" s="157">
        <f>IF($O22="M-Sa",(AV22*5)+AW22+AX22,IF($O22="m-su",(AV22*5)+AW22+AX22,IF($O22="M-F",(AV22*5),IF($O22="T-Su",(AV22*4)+AW22+AX22,IF($O22="T-Sa",(AV22*4)+AW22,IF($O22="T-F",(AV22*4),IF($O22="Su-F",(AV22*5)+AW22+AX22,(AV22*5+AW22+AX22))))))))</f>
        <v>17200</v>
      </c>
      <c r="BC22" s="157">
        <f>IF($O22="M-Sa",(BB22/6),IF($O22="m-su",(BB22/7),IF($O22="M-F",(BB22/5),IF($O22="T-Su",(BB22/6),IF($O22="T-Sa",(BB22/5),IF($O22="T-F",(BB22/4),IF($O22="Su-F",(BB22/6),(BB22/7))))))))</f>
        <v>4300</v>
      </c>
      <c r="BD22" s="167">
        <f>IF($O22="M-Sa",(AY22*5)+AZ22+BA22,IF($O22="m-su",(AY22*5)+AZ22+BA22,IF($O22="M-F",(AY22*5),IF($O22="T-Su",(AY22*4)+AZ22+BA22,IF($O22="T-Sa",(AY22*4)+AZ22,IF($O22="T-F",(AY22*4),IF($O22="Su-F",(AY22*5)+AZ22+BA22,(AY22*5+AZ22+BA22))))))))</f>
        <v>0</v>
      </c>
      <c r="BE22" s="34"/>
      <c r="BF22" s="6" t="s">
        <v>224</v>
      </c>
      <c r="BG22" s="168">
        <v>2006</v>
      </c>
      <c r="BH22" s="42"/>
      <c r="BI22" s="5"/>
    </row>
    <row r="23" spans="1:61" s="16" customFormat="1">
      <c r="A23" s="159" t="s">
        <v>72</v>
      </c>
      <c r="B23" s="1" t="s">
        <v>14</v>
      </c>
      <c r="C23" s="1" t="s">
        <v>50</v>
      </c>
      <c r="D23" s="36" t="s">
        <v>51</v>
      </c>
      <c r="E23" s="3" t="s">
        <v>73</v>
      </c>
      <c r="F23" s="140">
        <v>42361</v>
      </c>
      <c r="G23" s="1" t="s">
        <v>53</v>
      </c>
      <c r="H23" s="1" t="s">
        <v>19</v>
      </c>
      <c r="I23" s="1">
        <v>10</v>
      </c>
      <c r="J23" s="1">
        <v>301</v>
      </c>
      <c r="K23" s="1">
        <f>I23*J23</f>
        <v>3010</v>
      </c>
      <c r="L23" s="84"/>
      <c r="M23" s="84" t="s">
        <v>576</v>
      </c>
      <c r="N23" s="1" t="s">
        <v>20</v>
      </c>
      <c r="O23" s="3" t="s">
        <v>21</v>
      </c>
      <c r="P23" s="4" t="s">
        <v>67</v>
      </c>
      <c r="Q23" s="2" t="s">
        <v>23</v>
      </c>
      <c r="R23" s="144">
        <f>6012-351</f>
        <v>5661</v>
      </c>
      <c r="S23" s="142">
        <f>5921-348</f>
        <v>5573</v>
      </c>
      <c r="T23" s="143">
        <f>5579-306</f>
        <v>5273</v>
      </c>
      <c r="U23" s="142">
        <f>351+106</f>
        <v>457</v>
      </c>
      <c r="V23" s="142">
        <f>348+106</f>
        <v>454</v>
      </c>
      <c r="W23" s="142">
        <f>306+106</f>
        <v>412</v>
      </c>
      <c r="X23" s="144">
        <f>R23+U23</f>
        <v>6118</v>
      </c>
      <c r="Y23" s="142">
        <f>S23+V23</f>
        <v>6027</v>
      </c>
      <c r="Z23" s="143">
        <f>T23+W23</f>
        <v>5685</v>
      </c>
      <c r="AA23" s="142"/>
      <c r="AB23" s="142"/>
      <c r="AC23" s="142"/>
      <c r="AD23" s="148">
        <v>5563</v>
      </c>
      <c r="AE23" s="149">
        <v>5437</v>
      </c>
      <c r="AF23" s="150">
        <v>5001</v>
      </c>
      <c r="AG23" s="149">
        <v>564</v>
      </c>
      <c r="AH23" s="149">
        <v>557</v>
      </c>
      <c r="AI23" s="149">
        <v>547</v>
      </c>
      <c r="AJ23" s="148">
        <f>AD23+AG23</f>
        <v>6127</v>
      </c>
      <c r="AK23" s="149">
        <f>AE23+AH23</f>
        <v>5994</v>
      </c>
      <c r="AL23" s="150">
        <f>AF23+AI23</f>
        <v>5548</v>
      </c>
      <c r="AM23" s="148">
        <v>79</v>
      </c>
      <c r="AN23" s="149">
        <v>78</v>
      </c>
      <c r="AO23" s="150">
        <v>75</v>
      </c>
      <c r="AP23" s="152">
        <f>AVERAGE(R23,AD23)</f>
        <v>5612</v>
      </c>
      <c r="AQ23" s="152">
        <f>AVERAGE(S23,AE23)</f>
        <v>5505</v>
      </c>
      <c r="AR23" s="152">
        <f>AVERAGE(T23,AF23)</f>
        <v>5137</v>
      </c>
      <c r="AS23" s="151">
        <f>AVERAGE(U23,AG23)</f>
        <v>510.5</v>
      </c>
      <c r="AT23" s="152">
        <f>AVERAGE(V23,AH23)</f>
        <v>505.5</v>
      </c>
      <c r="AU23" s="166">
        <f>AVERAGE(W23,AI23)</f>
        <v>479.5</v>
      </c>
      <c r="AV23" s="156">
        <f>AVERAGE(X23,AJ23)</f>
        <v>6122.5</v>
      </c>
      <c r="AW23" s="156">
        <f>AVERAGE(Y23,AK23)</f>
        <v>6010.5</v>
      </c>
      <c r="AX23" s="156">
        <f>AVERAGE(Z23,AL23)</f>
        <v>5616.5</v>
      </c>
      <c r="AY23" s="151">
        <f>AVERAGE(AA23,AM23)</f>
        <v>79</v>
      </c>
      <c r="AZ23" s="152">
        <f>AVERAGE(AB23,AN23)</f>
        <v>78</v>
      </c>
      <c r="BA23" s="166">
        <f>AVERAGE(AC23,AO23)</f>
        <v>75</v>
      </c>
      <c r="BB23" s="157">
        <f>IF($O23="M-Sa",(AV23*5)+AW23+AX23,IF($O23="m-su",(AV23*5)+AW23+AX23,IF($O23="M-F",(AV23*5),IF($O23="T-Su",(AV23*4)+AW23+AX23,IF($O23="T-Sa",(AV23*4)+AW23,IF($O23="T-F",(AV23*4),IF($O23="Su-F",(AV23*5)+AW23+AX23,(AV23*5+AW23+AX23))))))))</f>
        <v>42239.5</v>
      </c>
      <c r="BC23" s="157">
        <f>IF($O23="M-Sa",(BB23/6),IF($O23="m-su",(BB23/7),IF($O23="M-F",(BB23/5),IF($O23="T-Su",(BB23/6),IF($O23="T-Sa",(BB23/5),IF($O23="T-F",(BB23/4),IF($O23="Su-F",(BB23/6),(BB23/7))))))))</f>
        <v>6034.2142857142853</v>
      </c>
      <c r="BD23" s="167">
        <f>IF($O23="M-Sa",(AY23*5)+AZ23+BA23,IF($O23="m-su",(AY23*5)+AZ23+BA23,IF($O23="M-F",(AY23*5),IF($O23="T-Su",(AY23*4)+AZ23+BA23,IF($O23="T-Sa",(AY23*4)+AZ23,IF($O23="T-F",(AY23*4),IF($O23="Su-F",(AY23*5)+AZ23+BA23,(AY23*5+AZ23+BA23))))))))</f>
        <v>548</v>
      </c>
      <c r="BE23" s="5"/>
      <c r="BF23" s="6"/>
      <c r="BG23" s="5"/>
      <c r="BH23" s="5"/>
      <c r="BI23" s="5"/>
    </row>
    <row r="24" spans="1:61" s="5" customFormat="1">
      <c r="A24" s="159" t="s">
        <v>429</v>
      </c>
      <c r="B24" s="1" t="s">
        <v>14</v>
      </c>
      <c r="C24" s="1" t="s">
        <v>50</v>
      </c>
      <c r="D24" s="36" t="s">
        <v>51</v>
      </c>
      <c r="E24" s="3" t="s">
        <v>75</v>
      </c>
      <c r="F24" s="140">
        <v>25465</v>
      </c>
      <c r="G24" s="1" t="s">
        <v>53</v>
      </c>
      <c r="H24" s="1" t="s">
        <v>19</v>
      </c>
      <c r="I24" s="1">
        <v>10</v>
      </c>
      <c r="J24" s="1">
        <v>301</v>
      </c>
      <c r="K24" s="1">
        <f>I24*J24</f>
        <v>3010</v>
      </c>
      <c r="L24" s="84"/>
      <c r="M24" s="84" t="s">
        <v>576</v>
      </c>
      <c r="N24" s="1" t="s">
        <v>35</v>
      </c>
      <c r="O24" s="3" t="s">
        <v>36</v>
      </c>
      <c r="P24" s="4" t="s">
        <v>57</v>
      </c>
      <c r="Q24" s="2" t="s">
        <v>23</v>
      </c>
      <c r="R24" s="144">
        <v>3190</v>
      </c>
      <c r="S24" s="142"/>
      <c r="T24" s="143"/>
      <c r="U24" s="142">
        <v>17</v>
      </c>
      <c r="V24" s="142"/>
      <c r="W24" s="142"/>
      <c r="X24" s="144">
        <f>R24+U24</f>
        <v>3207</v>
      </c>
      <c r="Y24" s="142">
        <f>S24+V24</f>
        <v>0</v>
      </c>
      <c r="Z24" s="143">
        <f>T24+W24</f>
        <v>0</v>
      </c>
      <c r="AA24" s="142"/>
      <c r="AB24" s="142"/>
      <c r="AC24" s="142"/>
      <c r="AD24" s="148">
        <f>((3054*3)+2880+2884)/5</f>
        <v>2985.2</v>
      </c>
      <c r="AE24" s="149"/>
      <c r="AF24" s="150"/>
      <c r="AG24" s="149">
        <f>((60*3)+7457+9331)/5</f>
        <v>3393.6</v>
      </c>
      <c r="AH24" s="149"/>
      <c r="AI24" s="149"/>
      <c r="AJ24" s="148">
        <f>AD24+AG24</f>
        <v>6378.7999999999993</v>
      </c>
      <c r="AK24" s="149">
        <f>AE24+AH24</f>
        <v>0</v>
      </c>
      <c r="AL24" s="150">
        <f>AF24+AI24</f>
        <v>0</v>
      </c>
      <c r="AM24" s="148"/>
      <c r="AN24" s="149"/>
      <c r="AO24" s="150"/>
      <c r="AP24" s="152">
        <f>AVERAGE(R24,AD24)</f>
        <v>3087.6</v>
      </c>
      <c r="AQ24" s="152"/>
      <c r="AR24" s="152"/>
      <c r="AS24" s="151">
        <f>AVERAGE(U24,AG24)</f>
        <v>1705.3</v>
      </c>
      <c r="AT24" s="152"/>
      <c r="AU24" s="166"/>
      <c r="AV24" s="156">
        <f>AVERAGE(X24,AJ24)</f>
        <v>4792.8999999999996</v>
      </c>
      <c r="AW24" s="156">
        <f>AVERAGE(Y24,AK24)</f>
        <v>0</v>
      </c>
      <c r="AX24" s="156">
        <f>AVERAGE(Z24,AL24)</f>
        <v>0</v>
      </c>
      <c r="AY24" s="151"/>
      <c r="AZ24" s="152"/>
      <c r="BA24" s="166"/>
      <c r="BB24" s="157">
        <f>IF($O24="M-Sa",(AV24*5)+AW24+AX24,IF($O24="m-su",(AV24*5)+AW24+AX24,IF($O24="M-F",(AV24*5),IF($O24="T-Su",(AV24*4)+AW24+AX24,IF($O24="T-Sa",(AV24*4)+AW24,IF($O24="T-F",(AV24*4),IF($O24="Su-F",(AV24*5)+AW24+AX24,(AV24*5+AW24+AX24))))))))</f>
        <v>23964.5</v>
      </c>
      <c r="BC24" s="157">
        <f>IF($O24="M-Sa",(BB24/6),IF($O24="m-su",(BB24/7),IF($O24="M-F",(BB24/5),IF($O24="T-Su",(BB24/6),IF($O24="T-Sa",(BB24/5),IF($O24="T-F",(BB24/4),IF($O24="Su-F",(BB24/6),(BB24/7))))))))</f>
        <v>4792.8999999999996</v>
      </c>
      <c r="BD24" s="167">
        <f>IF($O24="M-Sa",(AY24*5)+AZ24+BA24,IF($O24="m-su",(AY24*5)+AZ24+BA24,IF($O24="M-F",(AY24*5),IF($O24="T-Su",(AY24*4)+AZ24+BA24,IF($O24="T-Sa",(AY24*4)+AZ24,IF($O24="T-F",(AY24*4),IF($O24="Su-F",(AY24*5)+AZ24+BA24,(AY24*5+AZ24+BA24))))))))</f>
        <v>0</v>
      </c>
      <c r="BF24" s="6"/>
    </row>
    <row r="25" spans="1:61" s="25" customFormat="1">
      <c r="A25" s="191" t="s">
        <v>550</v>
      </c>
      <c r="B25" s="14" t="s">
        <v>14</v>
      </c>
      <c r="C25" s="14" t="s">
        <v>50</v>
      </c>
      <c r="D25" s="38" t="s">
        <v>51</v>
      </c>
      <c r="E25" s="17" t="s">
        <v>76</v>
      </c>
      <c r="F25" s="192">
        <v>84232</v>
      </c>
      <c r="G25" s="14" t="s">
        <v>34</v>
      </c>
      <c r="H25" s="14" t="s">
        <v>19</v>
      </c>
      <c r="I25" s="14">
        <v>10</v>
      </c>
      <c r="J25" s="14">
        <v>301</v>
      </c>
      <c r="K25" s="14">
        <f>I25*J25</f>
        <v>3010</v>
      </c>
      <c r="L25" s="204"/>
      <c r="M25" s="84" t="s">
        <v>576</v>
      </c>
      <c r="N25" s="14" t="s">
        <v>20</v>
      </c>
      <c r="O25" s="17" t="s">
        <v>45</v>
      </c>
      <c r="P25" s="18" t="s">
        <v>57</v>
      </c>
      <c r="Q25" s="15" t="s">
        <v>23</v>
      </c>
      <c r="R25" s="207">
        <f>((9820*3)+9878+10285)/5</f>
        <v>9924.6</v>
      </c>
      <c r="S25" s="205">
        <v>10285</v>
      </c>
      <c r="T25" s="206"/>
      <c r="U25" s="205"/>
      <c r="V25" s="205"/>
      <c r="W25" s="205">
        <v>14108</v>
      </c>
      <c r="X25" s="207">
        <f>R25+U25</f>
        <v>9924.6</v>
      </c>
      <c r="Y25" s="205">
        <f>S25+V25</f>
        <v>10285</v>
      </c>
      <c r="Z25" s="206">
        <f>T25+W25</f>
        <v>14108</v>
      </c>
      <c r="AA25" s="205"/>
      <c r="AB25" s="205"/>
      <c r="AC25" s="205"/>
      <c r="AD25" s="208">
        <f>((9278*3)+9429+9766)/5</f>
        <v>9405.7999999999993</v>
      </c>
      <c r="AE25" s="209">
        <v>9766</v>
      </c>
      <c r="AF25" s="210"/>
      <c r="AG25" s="209">
        <v>82</v>
      </c>
      <c r="AH25" s="209">
        <v>82</v>
      </c>
      <c r="AI25" s="209">
        <v>14352</v>
      </c>
      <c r="AJ25" s="208">
        <f>AD25+AG25</f>
        <v>9487.7999999999993</v>
      </c>
      <c r="AK25" s="209">
        <f>AE25+AH25</f>
        <v>9848</v>
      </c>
      <c r="AL25" s="210">
        <f>AF25+AI25</f>
        <v>14352</v>
      </c>
      <c r="AM25" s="208">
        <f>((149*3)+156+155)/5</f>
        <v>151.6</v>
      </c>
      <c r="AN25" s="209">
        <v>155</v>
      </c>
      <c r="AO25" s="210"/>
      <c r="AP25" s="200">
        <f>AVERAGE(R25,AD25)</f>
        <v>9665.2000000000007</v>
      </c>
      <c r="AQ25" s="200">
        <f>AVERAGE(S25,AE25)</f>
        <v>10025.5</v>
      </c>
      <c r="AR25" s="200"/>
      <c r="AS25" s="199">
        <f>AVERAGE(U25,AG25)</f>
        <v>82</v>
      </c>
      <c r="AT25" s="200">
        <f>AVERAGE(V25,AH25)</f>
        <v>82</v>
      </c>
      <c r="AU25" s="201">
        <f>AVERAGE(W25,AI25)</f>
        <v>14230</v>
      </c>
      <c r="AV25" s="202">
        <f>AVERAGE(X25,AJ25)</f>
        <v>9706.2000000000007</v>
      </c>
      <c r="AW25" s="202">
        <f>AVERAGE(Y25,AK25)</f>
        <v>10066.5</v>
      </c>
      <c r="AX25" s="202">
        <f>AVERAGE(Z25,AL25)</f>
        <v>14230</v>
      </c>
      <c r="AY25" s="199">
        <f>AVERAGE(AA25,AM25)</f>
        <v>151.6</v>
      </c>
      <c r="AZ25" s="200">
        <f>AVERAGE(AB25,AN25)</f>
        <v>155</v>
      </c>
      <c r="BA25" s="201"/>
      <c r="BB25" s="211">
        <f>(AV25*5)+AW25+AX25</f>
        <v>72827.5</v>
      </c>
      <c r="BC25" s="211">
        <f>BB25/5</f>
        <v>14565.5</v>
      </c>
      <c r="BD25" s="212">
        <f>IF($O25="M-Sa",(AY25*5)+AZ25+BA25,IF($O25="m-su",(AY25*5)+AZ25+BA25,IF($O25="M-F",(AY25*5),IF($O25="T-Su",(AY25*4)+AZ25+BA25,IF($O25="T-Sa",(AY25*4)+AZ25,IF($O25="T-F",(AY25*4),IF($O25="Su-F",(AY25*5)+AZ25+BA25,(AY25*5+AZ25+BA25))))))))</f>
        <v>913</v>
      </c>
      <c r="BE25" s="16"/>
      <c r="BF25" s="19"/>
      <c r="BG25" s="16"/>
      <c r="BH25" s="16"/>
      <c r="BI25" s="16"/>
    </row>
    <row r="26" spans="1:61" s="5" customFormat="1">
      <c r="A26" s="159" t="s">
        <v>77</v>
      </c>
      <c r="B26" s="1" t="s">
        <v>14</v>
      </c>
      <c r="C26" s="1" t="s">
        <v>50</v>
      </c>
      <c r="D26" s="36" t="s">
        <v>51</v>
      </c>
      <c r="E26" s="3" t="s">
        <v>78</v>
      </c>
      <c r="F26" s="140">
        <v>9276</v>
      </c>
      <c r="G26" s="1" t="s">
        <v>53</v>
      </c>
      <c r="H26" s="1" t="s">
        <v>26</v>
      </c>
      <c r="I26" s="1">
        <v>7</v>
      </c>
      <c r="J26" s="1">
        <v>192</v>
      </c>
      <c r="K26" s="1">
        <f>I26*J26</f>
        <v>1344</v>
      </c>
      <c r="L26" s="84"/>
      <c r="M26" s="84" t="s">
        <v>576</v>
      </c>
      <c r="N26" s="1" t="s">
        <v>35</v>
      </c>
      <c r="O26" s="3" t="s">
        <v>79</v>
      </c>
      <c r="P26" s="4" t="s">
        <v>48</v>
      </c>
      <c r="Q26" s="2" t="s">
        <v>64</v>
      </c>
      <c r="R26" s="144"/>
      <c r="S26" s="142"/>
      <c r="T26" s="143"/>
      <c r="U26" s="142"/>
      <c r="V26" s="142"/>
      <c r="W26" s="142"/>
      <c r="X26" s="144"/>
      <c r="Y26" s="142"/>
      <c r="Z26" s="143"/>
      <c r="AA26" s="142"/>
      <c r="AB26" s="142"/>
      <c r="AC26" s="142"/>
      <c r="AD26" s="148"/>
      <c r="AE26" s="149"/>
      <c r="AF26" s="150"/>
      <c r="AG26" s="149"/>
      <c r="AH26" s="149"/>
      <c r="AI26" s="149"/>
      <c r="AJ26" s="148">
        <f>AD26+AG26</f>
        <v>0</v>
      </c>
      <c r="AK26" s="149">
        <f>AE26+AH26</f>
        <v>0</v>
      </c>
      <c r="AL26" s="150">
        <f>AF26+AI26</f>
        <v>0</v>
      </c>
      <c r="AM26" s="148"/>
      <c r="AN26" s="149"/>
      <c r="AO26" s="150"/>
      <c r="AP26" s="152">
        <v>2851</v>
      </c>
      <c r="AQ26" s="152">
        <v>0</v>
      </c>
      <c r="AR26" s="152">
        <v>0</v>
      </c>
      <c r="AS26" s="151">
        <v>11</v>
      </c>
      <c r="AT26" s="152">
        <v>0</v>
      </c>
      <c r="AU26" s="166">
        <v>0</v>
      </c>
      <c r="AV26" s="156">
        <f>AP26+AS26</f>
        <v>2862</v>
      </c>
      <c r="AW26" s="156">
        <f>AQ26+AT26</f>
        <v>0</v>
      </c>
      <c r="AX26" s="156">
        <f>AR26+AU26</f>
        <v>0</v>
      </c>
      <c r="AY26" s="151"/>
      <c r="AZ26" s="152"/>
      <c r="BA26" s="166"/>
      <c r="BB26" s="157">
        <f>IF($O26="M-Sa",(AV26*5)+AW26+AX26,IF($O26="m-su",(AV26*5)+AW26+AX26,IF($O26="M-F",(AV26*5),IF($O26="T-Su",(AV26*4)+AW26+AX26,IF($O26="T-Sa",(AV26*4)+AW26,IF($O26="T-F",(AV26*4),IF($O26="Su-F",(AV26*5)+AW26+AX26,(AV26*5+AW26+AX26))))))))</f>
        <v>11448</v>
      </c>
      <c r="BC26" s="157">
        <f>IF($O26="M-Sa",(BB26/6),IF($O26="m-su",(BB26/7),IF($O26="M-F",(BB26/5),IF($O26="T-Su",(BB26/6),IF($O26="T-Sa",(BB26/5),IF($O26="T-F",(BB26/4),IF($O26="Su-F",(BB26/6),(BB26/7))))))))</f>
        <v>2862</v>
      </c>
      <c r="BD26" s="167">
        <f>IF($O26="M-Sa",(AY26*5)+AZ26+BA26,IF($O26="m-su",(AY26*5)+AZ26+BA26,IF($O26="M-F",(AY26*5),IF($O26="T-Su",(AY26*4)+AZ26+BA26,IF($O26="T-Sa",(AY26*4)+AZ26,IF($O26="T-F",(AY26*4),IF($O26="Su-F",(AY26*5)+AZ26+BA26,(AY26*5+AZ26+BA26))))))))</f>
        <v>0</v>
      </c>
      <c r="BF26" s="6" t="s">
        <v>80</v>
      </c>
      <c r="BI26" s="8"/>
    </row>
    <row r="27" spans="1:61" s="16" customFormat="1">
      <c r="A27" s="159" t="s">
        <v>322</v>
      </c>
      <c r="B27" s="1" t="s">
        <v>14</v>
      </c>
      <c r="C27" s="1" t="s">
        <v>50</v>
      </c>
      <c r="D27" s="36" t="s">
        <v>51</v>
      </c>
      <c r="E27" s="3" t="s">
        <v>82</v>
      </c>
      <c r="F27" s="140">
        <v>2463700</v>
      </c>
      <c r="G27" s="1" t="s">
        <v>18</v>
      </c>
      <c r="H27" s="1" t="s">
        <v>26</v>
      </c>
      <c r="I27" s="1">
        <v>9</v>
      </c>
      <c r="J27" s="1">
        <v>165</v>
      </c>
      <c r="K27" s="1">
        <f>I27*J27</f>
        <v>1485</v>
      </c>
      <c r="L27" s="84" t="s">
        <v>335</v>
      </c>
      <c r="M27" s="84" t="s">
        <v>576</v>
      </c>
      <c r="N27" s="1" t="s">
        <v>20</v>
      </c>
      <c r="O27" s="3" t="s">
        <v>83</v>
      </c>
      <c r="P27" s="4" t="s">
        <v>22</v>
      </c>
      <c r="Q27" s="2" t="s">
        <v>23</v>
      </c>
      <c r="R27" s="144">
        <f>136068-16225</f>
        <v>119843</v>
      </c>
      <c r="S27" s="142"/>
      <c r="T27" s="143">
        <f>144605-11602</f>
        <v>133003</v>
      </c>
      <c r="U27" s="142">
        <f>16225+3461</f>
        <v>19686</v>
      </c>
      <c r="V27" s="142"/>
      <c r="W27" s="142">
        <f>11602+4096</f>
        <v>15698</v>
      </c>
      <c r="X27" s="144">
        <f>R27+U27</f>
        <v>139529</v>
      </c>
      <c r="Y27" s="142"/>
      <c r="Z27" s="143">
        <f>T27+W27</f>
        <v>148701</v>
      </c>
      <c r="AA27" s="142"/>
      <c r="AB27" s="142"/>
      <c r="AC27" s="142"/>
      <c r="AD27" s="148">
        <v>77263</v>
      </c>
      <c r="AE27" s="149"/>
      <c r="AF27" s="150">
        <v>94746</v>
      </c>
      <c r="AG27" s="149">
        <v>59798</v>
      </c>
      <c r="AH27" s="149"/>
      <c r="AI27" s="149">
        <v>53973</v>
      </c>
      <c r="AJ27" s="148">
        <f>AD27+AG27</f>
        <v>137061</v>
      </c>
      <c r="AK27" s="149">
        <f>AE27+AH27</f>
        <v>0</v>
      </c>
      <c r="AL27" s="150">
        <f>AF27+AI27</f>
        <v>148719</v>
      </c>
      <c r="AM27" s="148">
        <v>49368</v>
      </c>
      <c r="AN27" s="149"/>
      <c r="AO27" s="150">
        <v>46174</v>
      </c>
      <c r="AP27" s="152">
        <f>AVERAGE(R27,AD27)</f>
        <v>98553</v>
      </c>
      <c r="AQ27" s="152"/>
      <c r="AR27" s="152">
        <f>AVERAGE(T27,AF27)</f>
        <v>113874.5</v>
      </c>
      <c r="AS27" s="151">
        <f>AVERAGE(U27,AG27)</f>
        <v>39742</v>
      </c>
      <c r="AT27" s="152"/>
      <c r="AU27" s="166">
        <f>AVERAGE(W27,AI27)</f>
        <v>34835.5</v>
      </c>
      <c r="AV27" s="156">
        <f>AVERAGE(X27,AJ27)</f>
        <v>138295</v>
      </c>
      <c r="AW27" s="156">
        <f>AVERAGE(Y27,AK27)</f>
        <v>0</v>
      </c>
      <c r="AX27" s="156">
        <f>AVERAGE(Z27,AL27)</f>
        <v>148710</v>
      </c>
      <c r="AY27" s="151">
        <f>AVERAGE(AA27,AM27)</f>
        <v>49368</v>
      </c>
      <c r="AZ27" s="152"/>
      <c r="BA27" s="166">
        <f>AVERAGE(AC27,AO27)</f>
        <v>46174</v>
      </c>
      <c r="BB27" s="157">
        <f>IF($O27="M-Sa",(AV27*5)+AW27+AX27,IF($O27="m-su",(AV27*5)+AW27+AX27,IF($O27="M-F",(AV27*5),IF($O27="T-Su",(AV27*4)+AW27+AX27,IF($O27="T-Sa",(AV27*4)+AW27,IF($O27="T-F",(AV27*4),IF($O27="Su-F",(AV27*5)+AW27+AX27,(AV27*5+AW27+AX27))))))))</f>
        <v>840185</v>
      </c>
      <c r="BC27" s="157">
        <f>IF($O27="M-Sa",(BB27/6),IF($O27="m-su",(BB27/7),IF($O27="M-F",(BB27/5),IF($O27="T-Su",(BB27/6),IF($O27="T-Sa",(BB27/5),IF($O27="T-F",(BB27/4),IF($O27="Su-F",(BB27/6),(BB27/7))))))))</f>
        <v>140030.83333333334</v>
      </c>
      <c r="BD27" s="167">
        <f>IF($O27="M-Sa",(AY27*5)+AZ27+BA27,IF($O27="m-su",(AY27*5)+AZ27+BA27,IF($O27="M-F",(AY27*5),IF($O27="T-Su",(AY27*4)+AZ27+BA27,IF($O27="T-Sa",(AY27*4)+AZ27,IF($O27="T-F",(AY27*4),IF($O27="Su-F",(AY27*5)+AZ27+BA27,(AY27*5+AZ27+BA27))))))))</f>
        <v>293014</v>
      </c>
      <c r="BE27" s="5"/>
      <c r="BF27" s="6"/>
      <c r="BG27" s="5"/>
      <c r="BH27" s="5"/>
      <c r="BI27" s="5"/>
    </row>
    <row r="28" spans="1:61" s="5" customFormat="1">
      <c r="A28" s="159" t="s">
        <v>81</v>
      </c>
      <c r="B28" s="1" t="s">
        <v>14</v>
      </c>
      <c r="C28" s="1" t="s">
        <v>50</v>
      </c>
      <c r="D28" s="36" t="s">
        <v>51</v>
      </c>
      <c r="E28" s="3" t="s">
        <v>82</v>
      </c>
      <c r="F28" s="140">
        <v>2463700</v>
      </c>
      <c r="G28" s="1" t="s">
        <v>18</v>
      </c>
      <c r="H28" s="1" t="s">
        <v>19</v>
      </c>
      <c r="I28" s="1">
        <v>10</v>
      </c>
      <c r="J28" s="1">
        <v>291</v>
      </c>
      <c r="K28" s="1">
        <f>I28*J28</f>
        <v>2910</v>
      </c>
      <c r="L28" s="84" t="s">
        <v>335</v>
      </c>
      <c r="M28" s="84" t="s">
        <v>576</v>
      </c>
      <c r="N28" s="1" t="s">
        <v>20</v>
      </c>
      <c r="O28" s="3" t="s">
        <v>45</v>
      </c>
      <c r="P28" s="4" t="s">
        <v>22</v>
      </c>
      <c r="Q28" s="2" t="s">
        <v>23</v>
      </c>
      <c r="R28" s="144">
        <f>156992-9764</f>
        <v>147228</v>
      </c>
      <c r="S28" s="142">
        <f>178579-10216</f>
        <v>168363</v>
      </c>
      <c r="T28" s="143"/>
      <c r="U28" s="142">
        <f>9764+5185</f>
        <v>14949</v>
      </c>
      <c r="V28" s="142">
        <f>10216+5534</f>
        <v>15750</v>
      </c>
      <c r="W28" s="142"/>
      <c r="X28" s="144">
        <f>R28+U28</f>
        <v>162177</v>
      </c>
      <c r="Y28" s="142">
        <f>S28+V28</f>
        <v>184113</v>
      </c>
      <c r="Z28" s="143"/>
      <c r="AA28" s="142"/>
      <c r="AB28" s="142"/>
      <c r="AC28" s="142"/>
      <c r="AD28" s="148">
        <v>94041</v>
      </c>
      <c r="AE28" s="149">
        <v>116685</v>
      </c>
      <c r="AF28" s="150"/>
      <c r="AG28" s="149">
        <v>60017</v>
      </c>
      <c r="AH28" s="149">
        <v>59446</v>
      </c>
      <c r="AI28" s="149"/>
      <c r="AJ28" s="148">
        <f>AD28+AG28</f>
        <v>154058</v>
      </c>
      <c r="AK28" s="149">
        <f>AE28+AH28</f>
        <v>176131</v>
      </c>
      <c r="AL28" s="150">
        <f>AF28+AI28</f>
        <v>0</v>
      </c>
      <c r="AM28" s="148">
        <v>57907</v>
      </c>
      <c r="AN28" s="149">
        <v>54219</v>
      </c>
      <c r="AO28" s="150"/>
      <c r="AP28" s="152">
        <f>AVERAGE(R28,AD28)</f>
        <v>120634.5</v>
      </c>
      <c r="AQ28" s="152">
        <f>AVERAGE(S28,AE28)</f>
        <v>142524</v>
      </c>
      <c r="AR28" s="152"/>
      <c r="AS28" s="151">
        <f>AVERAGE(U28,AG28)</f>
        <v>37483</v>
      </c>
      <c r="AT28" s="152">
        <f>AVERAGE(V28,AH28)</f>
        <v>37598</v>
      </c>
      <c r="AU28" s="166"/>
      <c r="AV28" s="156">
        <f>AVERAGE(X28,AJ28)</f>
        <v>158117.5</v>
      </c>
      <c r="AW28" s="156">
        <f>AVERAGE(Y28,AK28)</f>
        <v>180122</v>
      </c>
      <c r="AX28" s="156">
        <f>AVERAGE(Z28,AL28)</f>
        <v>0</v>
      </c>
      <c r="AY28" s="151">
        <f>AVERAGE(AA28,AM28)</f>
        <v>57907</v>
      </c>
      <c r="AZ28" s="152">
        <f>AVERAGE(AB28,AN28)</f>
        <v>54219</v>
      </c>
      <c r="BA28" s="166"/>
      <c r="BB28" s="157">
        <f>IF($O28="M-Sa",(AV28*5)+AW28+AX28,IF($O28="m-su",(AV28*5)+AW28+AX28,IF($O28="M-F",(AV28*5),IF($O28="T-Su",(AV28*4)+AW28+AX28,IF($O28="T-Sa",(AV28*4)+AW28,IF($O28="T-F",(AV28*4),IF($O28="Su-F",(AV28*5)+AW28+AX28,(AV28*5+AW28+AX28))))))))</f>
        <v>970709.5</v>
      </c>
      <c r="BC28" s="157">
        <f>IF($O28="M-Sa",(BB28/6),IF($O28="m-su",(BB28/7),IF($O28="M-F",(BB28/5),IF($O28="T-Su",(BB28/6),IF($O28="T-Sa",(BB28/5),IF($O28="T-F",(BB28/4),IF($O28="Su-F",(BB28/6),(BB28/7))))))))</f>
        <v>161784.91666666666</v>
      </c>
      <c r="BD28" s="167">
        <f>IF($O28="M-Sa",(AY28*5)+AZ28+BA28,IF($O28="m-su",(AY28*5)+AZ28+BA28,IF($O28="M-F",(AY28*5),IF($O28="T-Su",(AY28*4)+AZ28+BA28,IF($O28="T-Sa",(AY28*4)+AZ28,IF($O28="T-F",(AY28*4),IF($O28="Su-F",(AY28*5)+AZ28+BA28,(AY28*5+AZ28+BA28))))))))</f>
        <v>343754</v>
      </c>
      <c r="BF28" s="6"/>
    </row>
    <row r="29" spans="1:61" s="5" customFormat="1">
      <c r="A29" s="191" t="s">
        <v>238</v>
      </c>
      <c r="B29" s="14" t="s">
        <v>14</v>
      </c>
      <c r="C29" s="14" t="s">
        <v>50</v>
      </c>
      <c r="D29" s="38" t="s">
        <v>51</v>
      </c>
      <c r="E29" s="17" t="s">
        <v>82</v>
      </c>
      <c r="F29" s="192">
        <v>2463700</v>
      </c>
      <c r="G29" s="14" t="s">
        <v>18</v>
      </c>
      <c r="H29" s="14" t="s">
        <v>26</v>
      </c>
      <c r="I29" s="14">
        <v>6</v>
      </c>
      <c r="J29" s="14">
        <v>160</v>
      </c>
      <c r="K29" s="14">
        <f>I29*J29</f>
        <v>960</v>
      </c>
      <c r="L29" s="14"/>
      <c r="M29" s="1" t="s">
        <v>577</v>
      </c>
      <c r="N29" s="14" t="s">
        <v>20</v>
      </c>
      <c r="O29" s="17" t="s">
        <v>36</v>
      </c>
      <c r="P29" s="18" t="s">
        <v>27</v>
      </c>
      <c r="Q29" s="15" t="s">
        <v>28</v>
      </c>
      <c r="R29" s="195"/>
      <c r="S29" s="193"/>
      <c r="T29" s="194"/>
      <c r="U29" s="193"/>
      <c r="V29" s="193"/>
      <c r="W29" s="193"/>
      <c r="X29" s="195"/>
      <c r="Y29" s="193"/>
      <c r="Z29" s="194"/>
      <c r="AA29" s="193"/>
      <c r="AB29" s="193"/>
      <c r="AC29" s="193"/>
      <c r="AD29" s="196"/>
      <c r="AE29" s="197"/>
      <c r="AF29" s="198"/>
      <c r="AG29" s="197"/>
      <c r="AH29" s="197"/>
      <c r="AI29" s="197"/>
      <c r="AJ29" s="196"/>
      <c r="AK29" s="197"/>
      <c r="AL29" s="198"/>
      <c r="AM29" s="196"/>
      <c r="AN29" s="197"/>
      <c r="AO29" s="198"/>
      <c r="AP29" s="14"/>
      <c r="AQ29" s="14"/>
      <c r="AR29" s="14"/>
      <c r="AS29" s="199">
        <v>133103</v>
      </c>
      <c r="AT29" s="200"/>
      <c r="AU29" s="201"/>
      <c r="AV29" s="202">
        <f>AP29+AS29</f>
        <v>133103</v>
      </c>
      <c r="AW29" s="202">
        <f>AQ29+AT29</f>
        <v>0</v>
      </c>
      <c r="AX29" s="202"/>
      <c r="AY29" s="38"/>
      <c r="AZ29" s="14"/>
      <c r="BA29" s="39"/>
      <c r="BB29" s="211">
        <f>IF($O29="M-Sa",(AV29*5)+AW29+AX29,IF($O29="m-su",(AV29*5)+AW29+AX29,IF($O29="M-F",(AV29*5),IF($O29="T-Su",(AV29*4)+AW29+AX29,IF($O29="T-Sa",(AV29*4)+AW29,IF($O29="T-F",(AV29*4),IF($O29="Su-F",(AV29*5)+AW29+AX29,(AV29*5+AW29+AX29))))))))</f>
        <v>665515</v>
      </c>
      <c r="BC29" s="211">
        <f>IF($O29="M-Sa",(BB29/6),IF($O29="m-su",(BB29/7),IF($O29="M-F",(BB29/5),IF($O29="T-Su",(BB29/6),IF($O29="T-Sa",(BB29/5),IF($O29="T-F",(BB29/4),IF($O29="Su-F",(BB29/6),(BB29/7))))))))</f>
        <v>133103</v>
      </c>
      <c r="BD29" s="212">
        <f>IF($O29="M-Sa",(AY29*5)+AZ29+BA29,IF($O29="m-su",(AY29*5)+AZ29+BA29,IF($O29="M-F",(AY29*5),IF($O29="T-Su",(AY29*4)+AZ29+BA29,IF($O29="T-Sa",(AY29*4)+AZ29,IF($O29="T-F",(AY29*4),IF($O29="Su-F",(AY29*5)+AZ29+BA29,(AY29*5+AZ29+BA29))))))))</f>
        <v>0</v>
      </c>
      <c r="BE29" s="40"/>
      <c r="BF29" s="19"/>
      <c r="BG29" s="203">
        <v>2005</v>
      </c>
      <c r="BH29" s="41" t="s">
        <v>239</v>
      </c>
      <c r="BI29" s="16"/>
    </row>
    <row r="30" spans="1:61" s="5" customFormat="1">
      <c r="A30" s="159" t="s">
        <v>236</v>
      </c>
      <c r="B30" s="1" t="s">
        <v>14</v>
      </c>
      <c r="C30" s="1" t="s">
        <v>50</v>
      </c>
      <c r="D30" s="36" t="s">
        <v>51</v>
      </c>
      <c r="E30" s="3" t="s">
        <v>82</v>
      </c>
      <c r="F30" s="140">
        <v>2463700</v>
      </c>
      <c r="G30" s="1" t="s">
        <v>18</v>
      </c>
      <c r="H30" s="1" t="s">
        <v>26</v>
      </c>
      <c r="I30" s="1">
        <v>6</v>
      </c>
      <c r="J30" s="1">
        <v>175</v>
      </c>
      <c r="K30" s="1">
        <f>I30*J30</f>
        <v>1050</v>
      </c>
      <c r="L30" s="1"/>
      <c r="M30" s="1" t="s">
        <v>577</v>
      </c>
      <c r="N30" s="1" t="s">
        <v>20</v>
      </c>
      <c r="O30" s="3" t="s">
        <v>36</v>
      </c>
      <c r="P30" s="4" t="s">
        <v>218</v>
      </c>
      <c r="Q30" s="2" t="s">
        <v>28</v>
      </c>
      <c r="R30" s="162"/>
      <c r="S30" s="160"/>
      <c r="T30" s="161"/>
      <c r="U30" s="160"/>
      <c r="V30" s="160"/>
      <c r="W30" s="160"/>
      <c r="X30" s="162"/>
      <c r="Y30" s="160"/>
      <c r="Z30" s="161"/>
      <c r="AA30" s="160"/>
      <c r="AB30" s="160"/>
      <c r="AC30" s="160"/>
      <c r="AD30" s="163"/>
      <c r="AE30" s="164"/>
      <c r="AF30" s="165"/>
      <c r="AG30" s="164"/>
      <c r="AH30" s="164"/>
      <c r="AI30" s="164"/>
      <c r="AJ30" s="163"/>
      <c r="AK30" s="164"/>
      <c r="AL30" s="165"/>
      <c r="AM30" s="163"/>
      <c r="AN30" s="164"/>
      <c r="AO30" s="165"/>
      <c r="AP30" s="1"/>
      <c r="AQ30" s="1"/>
      <c r="AR30" s="1"/>
      <c r="AS30" s="151">
        <v>130377</v>
      </c>
      <c r="AT30" s="152"/>
      <c r="AU30" s="166"/>
      <c r="AV30" s="156">
        <f>AP30+AS30</f>
        <v>130377</v>
      </c>
      <c r="AW30" s="156">
        <f>AQ30+AT30</f>
        <v>0</v>
      </c>
      <c r="AX30" s="156"/>
      <c r="AY30" s="36"/>
      <c r="AZ30" s="1"/>
      <c r="BA30" s="37"/>
      <c r="BB30" s="157">
        <f>IF($O30="M-Sa",(AV30*5)+AW30+AX30,IF($O30="m-su",(AV30*5)+AW30+AX30,IF($O30="M-F",(AV30*5),IF($O30="T-Su",(AV30*4)+AW30+AX30,IF($O30="T-Sa",(AV30*4)+AW30,IF($O30="T-F",(AV30*4),IF($O30="Su-F",(AV30*5)+AW30+AX30,(AV30*5+AW30+AX30))))))))</f>
        <v>651885</v>
      </c>
      <c r="BC30" s="157">
        <f>IF($O30="M-Sa",(BB30/6),IF($O30="m-su",(BB30/7),IF($O30="M-F",(BB30/5),IF($O30="T-Su",(BB30/6),IF($O30="T-Sa",(BB30/5),IF($O30="T-F",(BB30/4),IF($O30="Su-F",(BB30/6),(BB30/7))))))))</f>
        <v>130377</v>
      </c>
      <c r="BD30" s="167">
        <f>IF($O30="M-Sa",(AY30*5)+AZ30+BA30,IF($O30="m-su",(AY30*5)+AZ30+BA30,IF($O30="M-F",(AY30*5),IF($O30="T-Su",(AY30*4)+AZ30+BA30,IF($O30="T-Sa",(AY30*4)+AZ30,IF($O30="T-F",(AY30*4),IF($O30="Su-F",(AY30*5)+AZ30+BA30,(AY30*5+AZ30+BA30))))))))</f>
        <v>0</v>
      </c>
      <c r="BE30" s="34"/>
      <c r="BF30" s="3"/>
      <c r="BG30" s="168">
        <v>2005</v>
      </c>
      <c r="BH30" s="35" t="s">
        <v>237</v>
      </c>
    </row>
    <row r="31" spans="1:61" s="5" customFormat="1">
      <c r="A31" s="159" t="s">
        <v>232</v>
      </c>
      <c r="B31" s="1" t="s">
        <v>233</v>
      </c>
      <c r="C31" s="1" t="s">
        <v>50</v>
      </c>
      <c r="D31" s="36" t="s">
        <v>51</v>
      </c>
      <c r="E31" s="3" t="s">
        <v>82</v>
      </c>
      <c r="F31" s="140">
        <v>2463700</v>
      </c>
      <c r="G31" s="1" t="s">
        <v>18</v>
      </c>
      <c r="H31" s="1" t="s">
        <v>19</v>
      </c>
      <c r="I31" s="1">
        <v>6</v>
      </c>
      <c r="J31" s="1"/>
      <c r="K31" s="1">
        <f>I31*J31</f>
        <v>0</v>
      </c>
      <c r="L31" s="1"/>
      <c r="M31" s="1" t="s">
        <v>577</v>
      </c>
      <c r="N31" s="1" t="s">
        <v>20</v>
      </c>
      <c r="O31" s="3" t="s">
        <v>21</v>
      </c>
      <c r="P31" s="4" t="s">
        <v>98</v>
      </c>
      <c r="Q31" s="2" t="s">
        <v>353</v>
      </c>
      <c r="R31" s="162"/>
      <c r="S31" s="160"/>
      <c r="T31" s="161"/>
      <c r="U31" s="160"/>
      <c r="V31" s="160"/>
      <c r="W31" s="160"/>
      <c r="X31" s="162"/>
      <c r="Y31" s="160"/>
      <c r="Z31" s="161"/>
      <c r="AA31" s="160"/>
      <c r="AB31" s="160"/>
      <c r="AC31" s="160"/>
      <c r="AD31" s="163"/>
      <c r="AE31" s="164"/>
      <c r="AF31" s="165"/>
      <c r="AG31" s="164"/>
      <c r="AH31" s="164"/>
      <c r="AI31" s="164"/>
      <c r="AJ31" s="163"/>
      <c r="AK31" s="164"/>
      <c r="AL31" s="165"/>
      <c r="AM31" s="163"/>
      <c r="AN31" s="164"/>
      <c r="AO31" s="165"/>
      <c r="AP31" s="1"/>
      <c r="AQ31" s="1"/>
      <c r="AR31" s="1"/>
      <c r="AS31" s="151">
        <v>6000</v>
      </c>
      <c r="AT31" s="152">
        <v>6000</v>
      </c>
      <c r="AU31" s="166">
        <v>6000</v>
      </c>
      <c r="AV31" s="156">
        <f>AP31+AS31</f>
        <v>6000</v>
      </c>
      <c r="AW31" s="156">
        <f>AQ31+AT31</f>
        <v>6000</v>
      </c>
      <c r="AX31" s="156"/>
      <c r="AY31" s="36"/>
      <c r="AZ31" s="1"/>
      <c r="BA31" s="37"/>
      <c r="BB31" s="157">
        <f>IF($O31="M-Sa",(AV31*5)+AW31+AX31,IF($O31="m-su",(AV31*5)+AW31+AX31,IF($O31="M-F",(AV31*5),IF($O31="T-Su",(AV31*4)+AW31+AX31,IF($O31="T-Sa",(AV31*4)+AW31,IF($O31="T-F",(AV31*4),IF($O31="Su-F",(AV31*5)+AW31+AX31,(AV31*5+AW31+AX31))))))))</f>
        <v>36000</v>
      </c>
      <c r="BC31" s="157">
        <f>IF($O31="M-Sa",(BB31/6),IF($O31="m-su",(BB31/7),IF($O31="M-F",(BB31/5),IF($O31="T-Su",(BB31/6),IF($O31="T-Sa",(BB31/5),IF($O31="T-F",(BB31/4),IF($O31="Su-F",(BB31/6),(BB31/7))))))))</f>
        <v>5142.8571428571431</v>
      </c>
      <c r="BD31" s="167">
        <f>IF($O31="M-Sa",(AY31*5)+AZ31+BA31,IF($O31="m-su",(AY31*5)+AZ31+BA31,IF($O31="M-F",(AY31*5),IF($O31="T-Su",(AY31*4)+AZ31+BA31,IF($O31="T-Sa",(AY31*4)+AZ31,IF($O31="T-F",(AY31*4),IF($O31="Su-F",(AY31*5)+AZ31+BA31,(AY31*5+AZ31+BA31))))))))</f>
        <v>0</v>
      </c>
      <c r="BE31" s="34"/>
      <c r="BF31" s="3" t="s">
        <v>234</v>
      </c>
      <c r="BG31" s="168">
        <v>2005</v>
      </c>
      <c r="BH31" s="43" t="s">
        <v>235</v>
      </c>
    </row>
    <row r="32" spans="1:61" s="5" customFormat="1">
      <c r="A32" s="159" t="s">
        <v>225</v>
      </c>
      <c r="B32" s="1" t="s">
        <v>14</v>
      </c>
      <c r="C32" s="1" t="s">
        <v>50</v>
      </c>
      <c r="D32" s="36" t="s">
        <v>51</v>
      </c>
      <c r="E32" s="3" t="s">
        <v>226</v>
      </c>
      <c r="F32" s="140">
        <v>58584</v>
      </c>
      <c r="G32" s="1" t="s">
        <v>34</v>
      </c>
      <c r="H32" s="1" t="s">
        <v>26</v>
      </c>
      <c r="I32" s="1">
        <v>7</v>
      </c>
      <c r="J32" s="1">
        <v>196</v>
      </c>
      <c r="K32" s="1">
        <f>I32*J32</f>
        <v>1372</v>
      </c>
      <c r="L32" s="1"/>
      <c r="M32" s="1" t="s">
        <v>577</v>
      </c>
      <c r="N32" s="1" t="s">
        <v>20</v>
      </c>
      <c r="O32" s="3" t="s">
        <v>79</v>
      </c>
      <c r="P32" s="4" t="s">
        <v>48</v>
      </c>
      <c r="Q32" s="2" t="s">
        <v>353</v>
      </c>
      <c r="R32" s="162"/>
      <c r="S32" s="160"/>
      <c r="T32" s="161"/>
      <c r="U32" s="160"/>
      <c r="V32" s="160"/>
      <c r="W32" s="160"/>
      <c r="X32" s="162"/>
      <c r="Y32" s="160"/>
      <c r="Z32" s="161"/>
      <c r="AA32" s="160"/>
      <c r="AB32" s="160"/>
      <c r="AC32" s="160"/>
      <c r="AD32" s="163"/>
      <c r="AE32" s="164"/>
      <c r="AF32" s="165"/>
      <c r="AG32" s="164"/>
      <c r="AH32" s="164"/>
      <c r="AI32" s="164"/>
      <c r="AJ32" s="163"/>
      <c r="AK32" s="164"/>
      <c r="AL32" s="165"/>
      <c r="AM32" s="163"/>
      <c r="AN32" s="164"/>
      <c r="AO32" s="165"/>
      <c r="AP32" s="1"/>
      <c r="AQ32" s="1"/>
      <c r="AR32" s="1"/>
      <c r="AS32" s="151">
        <v>3200</v>
      </c>
      <c r="AT32" s="152">
        <v>0</v>
      </c>
      <c r="AU32" s="166">
        <v>0</v>
      </c>
      <c r="AV32" s="156">
        <f>AP32+AS32</f>
        <v>3200</v>
      </c>
      <c r="AW32" s="156">
        <f>AQ32+AT32</f>
        <v>0</v>
      </c>
      <c r="AX32" s="156"/>
      <c r="AY32" s="36"/>
      <c r="AZ32" s="1"/>
      <c r="BA32" s="37"/>
      <c r="BB32" s="157">
        <f>IF($O32="M-Sa",(AV32*5)+AW32+AX32,IF($O32="m-su",(AV32*5)+AW32+AX32,IF($O32="M-F",(AV32*5),IF($O32="T-Su",(AV32*4)+AW32+AX32,IF($O32="T-Sa",(AV32*4)+AW32,IF($O32="T-F",(AV32*4),IF($O32="Su-F",(AV32*5)+AW32+AX32,(AV32*5+AW32+AX32))))))))</f>
        <v>12800</v>
      </c>
      <c r="BC32" s="157">
        <f>IF($O32="M-Sa",(BB32/6),IF($O32="m-su",(BB32/7),IF($O32="M-F",(BB32/5),IF($O32="T-Su",(BB32/6),IF($O32="T-Sa",(BB32/5),IF($O32="T-F",(BB32/4),IF($O32="Su-F",(BB32/6),(BB32/7))))))))</f>
        <v>3200</v>
      </c>
      <c r="BD32" s="167">
        <f>IF($O32="M-Sa",(AY32*5)+AZ32+BA32,IF($O32="m-su",(AY32*5)+AZ32+BA32,IF($O32="M-F",(AY32*5),IF($O32="T-Su",(AY32*4)+AZ32+BA32,IF($O32="T-Sa",(AY32*4)+AZ32,IF($O32="T-F",(AY32*4),IF($O32="Su-F",(AY32*5)+AZ32+BA32,(AY32*5+AZ32+BA32))))))))</f>
        <v>0</v>
      </c>
      <c r="BE32" s="34"/>
      <c r="BF32" s="6" t="s">
        <v>222</v>
      </c>
      <c r="BG32" s="168">
        <v>2006</v>
      </c>
      <c r="BH32" s="35" t="s">
        <v>227</v>
      </c>
    </row>
    <row r="33" spans="1:61" s="5" customFormat="1">
      <c r="A33" s="159" t="s">
        <v>430</v>
      </c>
      <c r="B33" s="1" t="s">
        <v>14</v>
      </c>
      <c r="C33" s="1" t="s">
        <v>50</v>
      </c>
      <c r="D33" s="36" t="s">
        <v>51</v>
      </c>
      <c r="E33" s="3" t="s">
        <v>84</v>
      </c>
      <c r="F33" s="140">
        <v>363100</v>
      </c>
      <c r="G33" s="1" t="s">
        <v>41</v>
      </c>
      <c r="H33" s="1" t="s">
        <v>19</v>
      </c>
      <c r="I33" s="1">
        <v>10</v>
      </c>
      <c r="J33" s="1">
        <v>305</v>
      </c>
      <c r="K33" s="1">
        <f>I33*J33</f>
        <v>3050</v>
      </c>
      <c r="L33" s="84" t="s">
        <v>338</v>
      </c>
      <c r="M33" s="84" t="s">
        <v>576</v>
      </c>
      <c r="N33" s="1" t="s">
        <v>20</v>
      </c>
      <c r="O33" s="3" t="s">
        <v>85</v>
      </c>
      <c r="P33" s="4" t="s">
        <v>57</v>
      </c>
      <c r="Q33" s="2" t="s">
        <v>23</v>
      </c>
      <c r="R33" s="144">
        <f>52462-4645</f>
        <v>47817</v>
      </c>
      <c r="S33" s="142">
        <f>51727-3760</f>
        <v>47967</v>
      </c>
      <c r="T33" s="143">
        <f>51535-3766</f>
        <v>47769</v>
      </c>
      <c r="U33" s="142">
        <f>4645+270</f>
        <v>4915</v>
      </c>
      <c r="V33" s="142">
        <f>3760+264</f>
        <v>4024</v>
      </c>
      <c r="W33" s="142">
        <f>3766+262</f>
        <v>4028</v>
      </c>
      <c r="X33" s="144">
        <f>R33+U33</f>
        <v>52732</v>
      </c>
      <c r="Y33" s="142">
        <f>S33+V33</f>
        <v>51991</v>
      </c>
      <c r="Z33" s="143">
        <f>T33+W33</f>
        <v>51797</v>
      </c>
      <c r="AA33" s="142"/>
      <c r="AB33" s="142"/>
      <c r="AC33" s="142"/>
      <c r="AD33" s="148">
        <v>50868</v>
      </c>
      <c r="AE33" s="149">
        <v>51305</v>
      </c>
      <c r="AF33" s="150">
        <v>50783</v>
      </c>
      <c r="AG33" s="149">
        <v>2019</v>
      </c>
      <c r="AH33" s="149">
        <v>589</v>
      </c>
      <c r="AI33" s="149">
        <v>580</v>
      </c>
      <c r="AJ33" s="148">
        <f>AD33+AG33</f>
        <v>52887</v>
      </c>
      <c r="AK33" s="149">
        <f>AE33+AH33</f>
        <v>51894</v>
      </c>
      <c r="AL33" s="150">
        <f>AF33+AI33</f>
        <v>51363</v>
      </c>
      <c r="AM33" s="148">
        <v>2082</v>
      </c>
      <c r="AN33" s="149">
        <v>1285</v>
      </c>
      <c r="AO33" s="150">
        <v>1259</v>
      </c>
      <c r="AP33" s="152">
        <f>AVERAGE(R33,AD33)</f>
        <v>49342.5</v>
      </c>
      <c r="AQ33" s="152">
        <f>AVERAGE(S33,AE33)</f>
        <v>49636</v>
      </c>
      <c r="AR33" s="152">
        <f>AVERAGE(T33,AF33)</f>
        <v>49276</v>
      </c>
      <c r="AS33" s="151">
        <f>AVERAGE(U33,AG33)</f>
        <v>3467</v>
      </c>
      <c r="AT33" s="152">
        <f>AVERAGE(V33,AH33)</f>
        <v>2306.5</v>
      </c>
      <c r="AU33" s="166">
        <f>AVERAGE(W33,AI33)</f>
        <v>2304</v>
      </c>
      <c r="AV33" s="156">
        <f>AVERAGE(X33,AJ33)</f>
        <v>52809.5</v>
      </c>
      <c r="AW33" s="156">
        <f>AVERAGE(Y33,AK33)</f>
        <v>51942.5</v>
      </c>
      <c r="AX33" s="156">
        <f>AVERAGE(Z33,AL33)</f>
        <v>51580</v>
      </c>
      <c r="AY33" s="151">
        <f>AVERAGE(AA33,AM33)</f>
        <v>2082</v>
      </c>
      <c r="AZ33" s="152">
        <f>AVERAGE(AB33,AN33)</f>
        <v>1285</v>
      </c>
      <c r="BA33" s="166">
        <f>AVERAGE(AC33,AO33)</f>
        <v>1259</v>
      </c>
      <c r="BB33" s="157">
        <f>IF($O33="M-Sa",(AV33*5)+AW33+AX33,IF($O33="m-su",(AV33*5)+AW33+AX33,IF($O33="M-F",(AV33*5),IF($O33="T-Su",(AV33*4)+AW33+AX33,IF($O33="T-Sa",(AV33*4)+AW33,IF($O33="T-F",(AV33*4),IF($O33="Su-F",(AV33*5)+AW33+AX33,(AV33*5+AW33+AX33))))))))</f>
        <v>314760.5</v>
      </c>
      <c r="BC33" s="157">
        <f>IF($O33="M-Sa",(BB33/6),IF($O33="m-su",(BB33/7),IF($O33="M-F",(BB33/5),IF($O33="T-Su",(BB33/6),IF($O33="T-Sa",(BB33/5),IF($O33="T-F",(BB33/4),IF($O33="Su-F",(BB33/6),(BB33/7))))))))</f>
        <v>52460.083333333336</v>
      </c>
      <c r="BD33" s="167">
        <f>IF($O33="M-Sa",(AY33*5)+AZ33+BA33,IF($O33="m-su",(AY33*5)+AZ33+BA33,IF($O33="M-F",(AY33*5),IF($O33="T-Su",(AY33*4)+AZ33+BA33,IF($O33="T-Sa",(AY33*4)+AZ33,IF($O33="T-F",(AY33*4),IF($O33="Su-F",(AY33*5)+AZ33+BA33,(AY33*5+AZ33+BA33))))))))</f>
        <v>10872</v>
      </c>
      <c r="BF33" s="6"/>
    </row>
    <row r="34" spans="1:61" s="5" customFormat="1">
      <c r="A34" s="159" t="s">
        <v>228</v>
      </c>
      <c r="B34" s="1" t="s">
        <v>14</v>
      </c>
      <c r="C34" s="1" t="s">
        <v>50</v>
      </c>
      <c r="D34" s="36" t="s">
        <v>51</v>
      </c>
      <c r="E34" s="3" t="s">
        <v>229</v>
      </c>
      <c r="F34" s="140">
        <v>82368</v>
      </c>
      <c r="G34" s="1" t="s">
        <v>34</v>
      </c>
      <c r="H34" s="1" t="s">
        <v>26</v>
      </c>
      <c r="I34" s="1">
        <v>7</v>
      </c>
      <c r="J34" s="1">
        <v>196</v>
      </c>
      <c r="K34" s="1">
        <f>I34*J34</f>
        <v>1372</v>
      </c>
      <c r="L34" s="1"/>
      <c r="M34" s="1" t="s">
        <v>577</v>
      </c>
      <c r="N34" s="1" t="s">
        <v>20</v>
      </c>
      <c r="O34" s="3" t="s">
        <v>79</v>
      </c>
      <c r="P34" s="4" t="s">
        <v>48</v>
      </c>
      <c r="Q34" s="2" t="s">
        <v>353</v>
      </c>
      <c r="R34" s="162"/>
      <c r="S34" s="160"/>
      <c r="T34" s="161"/>
      <c r="U34" s="160"/>
      <c r="V34" s="160"/>
      <c r="W34" s="160"/>
      <c r="X34" s="162"/>
      <c r="Y34" s="160"/>
      <c r="Z34" s="161"/>
      <c r="AA34" s="160"/>
      <c r="AB34" s="160"/>
      <c r="AC34" s="160"/>
      <c r="AD34" s="163"/>
      <c r="AE34" s="164"/>
      <c r="AF34" s="165"/>
      <c r="AG34" s="164"/>
      <c r="AH34" s="164"/>
      <c r="AI34" s="164"/>
      <c r="AJ34" s="163"/>
      <c r="AK34" s="164"/>
      <c r="AL34" s="165"/>
      <c r="AM34" s="163"/>
      <c r="AN34" s="164"/>
      <c r="AO34" s="165"/>
      <c r="AP34" s="1"/>
      <c r="AQ34" s="1"/>
      <c r="AR34" s="1"/>
      <c r="AS34" s="151">
        <v>3700</v>
      </c>
      <c r="AT34" s="152">
        <v>0</v>
      </c>
      <c r="AU34" s="166">
        <v>0</v>
      </c>
      <c r="AV34" s="156">
        <f>AP34+AS34</f>
        <v>3700</v>
      </c>
      <c r="AW34" s="156">
        <f>AQ34+AT34</f>
        <v>0</v>
      </c>
      <c r="AX34" s="156"/>
      <c r="AY34" s="36"/>
      <c r="AZ34" s="1"/>
      <c r="BA34" s="37"/>
      <c r="BB34" s="157">
        <f>IF($O34="M-Sa",(AV34*5)+AW34+AX34,IF($O34="m-su",(AV34*5)+AW34+AX34,IF($O34="M-F",(AV34*5),IF($O34="T-Su",(AV34*4)+AW34+AX34,IF($O34="T-Sa",(AV34*4)+AW34,IF($O34="T-F",(AV34*4),IF($O34="Su-F",(AV34*5)+AW34+AX34,(AV34*5+AW34+AX34))))))))</f>
        <v>14800</v>
      </c>
      <c r="BC34" s="157">
        <f>IF($O34="M-Sa",(BB34/6),IF($O34="m-su",(BB34/7),IF($O34="M-F",(BB34/5),IF($O34="T-Su",(BB34/6),IF($O34="T-Sa",(BB34/5),IF($O34="T-F",(BB34/4),IF($O34="Su-F",(BB34/6),(BB34/7))))))))</f>
        <v>3700</v>
      </c>
      <c r="BD34" s="167">
        <f>IF($O34="M-Sa",(AY34*5)+AZ34+BA34,IF($O34="m-su",(AY34*5)+AZ34+BA34,IF($O34="M-F",(AY34*5),IF($O34="T-Su",(AY34*4)+AZ34+BA34,IF($O34="T-Sa",(AY34*4)+AZ34,IF($O34="T-F",(AY34*4),IF($O34="Su-F",(AY34*5)+AZ34+BA34,(AY34*5+AZ34+BA34))))))))</f>
        <v>0</v>
      </c>
      <c r="BE34" s="34"/>
      <c r="BF34" s="6" t="s">
        <v>230</v>
      </c>
      <c r="BG34" s="168">
        <v>2006</v>
      </c>
      <c r="BH34" s="35" t="s">
        <v>231</v>
      </c>
    </row>
    <row r="35" spans="1:61" s="5" customFormat="1">
      <c r="A35" s="159" t="s">
        <v>86</v>
      </c>
      <c r="B35" s="1" t="s">
        <v>14</v>
      </c>
      <c r="C35" s="1" t="s">
        <v>15</v>
      </c>
      <c r="D35" s="36" t="s">
        <v>87</v>
      </c>
      <c r="E35" s="3" t="s">
        <v>88</v>
      </c>
      <c r="F35" s="140">
        <v>53229</v>
      </c>
      <c r="G35" s="1" t="s">
        <v>34</v>
      </c>
      <c r="H35" s="1" t="s">
        <v>19</v>
      </c>
      <c r="I35" s="1">
        <v>6</v>
      </c>
      <c r="J35" s="1">
        <v>300</v>
      </c>
      <c r="K35" s="1">
        <f>I35*J35</f>
        <v>1800</v>
      </c>
      <c r="L35" s="84"/>
      <c r="M35" s="84" t="s">
        <v>576</v>
      </c>
      <c r="N35" s="1" t="s">
        <v>35</v>
      </c>
      <c r="O35" s="3" t="s">
        <v>21</v>
      </c>
      <c r="P35" s="4" t="s">
        <v>89</v>
      </c>
      <c r="Q35" s="2" t="s">
        <v>23</v>
      </c>
      <c r="R35" s="144">
        <f>10267+1585</f>
        <v>11852</v>
      </c>
      <c r="S35" s="142">
        <f>11484+1395</f>
        <v>12879</v>
      </c>
      <c r="T35" s="143"/>
      <c r="U35" s="142">
        <v>68</v>
      </c>
      <c r="V35" s="142">
        <v>88</v>
      </c>
      <c r="W35" s="142"/>
      <c r="X35" s="144">
        <f>R35+U35</f>
        <v>11920</v>
      </c>
      <c r="Y35" s="142">
        <f>S35+V35</f>
        <v>12967</v>
      </c>
      <c r="Z35" s="143"/>
      <c r="AA35" s="142">
        <v>273</v>
      </c>
      <c r="AB35" s="142">
        <v>274</v>
      </c>
      <c r="AC35" s="142"/>
      <c r="AD35" s="148">
        <v>9339</v>
      </c>
      <c r="AE35" s="149">
        <v>11465</v>
      </c>
      <c r="AF35" s="150"/>
      <c r="AG35" s="149">
        <v>2343</v>
      </c>
      <c r="AH35" s="149">
        <v>1783</v>
      </c>
      <c r="AI35" s="149"/>
      <c r="AJ35" s="148">
        <f>AD35+AG35</f>
        <v>11682</v>
      </c>
      <c r="AK35" s="149">
        <f>AE35+AH35</f>
        <v>13248</v>
      </c>
      <c r="AL35" s="150">
        <f>AF35+AI35</f>
        <v>0</v>
      </c>
      <c r="AM35" s="148">
        <v>276</v>
      </c>
      <c r="AN35" s="149">
        <v>277</v>
      </c>
      <c r="AO35" s="150"/>
      <c r="AP35" s="152">
        <f>AVERAGE(R35,AD35)</f>
        <v>10595.5</v>
      </c>
      <c r="AQ35" s="152">
        <f>AVERAGE(S35,AE35)</f>
        <v>12172</v>
      </c>
      <c r="AR35" s="152"/>
      <c r="AS35" s="151">
        <f>AVERAGE(U35,AG35)</f>
        <v>1205.5</v>
      </c>
      <c r="AT35" s="152">
        <f>AVERAGE(V35,AH35)</f>
        <v>935.5</v>
      </c>
      <c r="AU35" s="166"/>
      <c r="AV35" s="156">
        <f>AVERAGE(X35,AJ35)</f>
        <v>11801</v>
      </c>
      <c r="AW35" s="156">
        <f>AVERAGE(Y35,AK35)</f>
        <v>13107.5</v>
      </c>
      <c r="AX35" s="156">
        <f>AVERAGE(Z35,AL35)</f>
        <v>0</v>
      </c>
      <c r="AY35" s="151">
        <f>AVERAGE(AA35,AM35)</f>
        <v>274.5</v>
      </c>
      <c r="AZ35" s="152">
        <f>AVERAGE(AB35,AN35)</f>
        <v>275.5</v>
      </c>
      <c r="BA35" s="166"/>
      <c r="BB35" s="157">
        <f>IF($O35="M-Sa",(AV35*5)+AW35+AX35,IF($O35="m-su",(AV35*5)+AW35+AX35,IF($O35="M-F",(AV35*5),IF($O35="T-Su",(AV35*4)+AW35+AX35,IF($O35="T-Sa",(AV35*4)+AW35,IF($O35="T-F",(AV35*4),IF($O35="Su-F",(AV35*5)+AW35+AX35,(AV35*5+AW35+AX35))))))))</f>
        <v>72112.5</v>
      </c>
      <c r="BC35" s="157">
        <f>IF($O35="M-Sa",(BB35/6),IF($O35="m-su",(BB35/7),IF($O35="M-F",(BB35/5),IF($O35="T-Su",(BB35/6),IF($O35="T-Sa",(BB35/5),IF($O35="T-F",(BB35/4),IF($O35="Su-F",(BB35/6),(BB35/7))))))))</f>
        <v>10301.785714285714</v>
      </c>
      <c r="BD35" s="167">
        <f>IF($O35="M-Sa",(AY35*5)+AZ35+BA35,IF($O35="m-su",(AY35*5)+AZ35+BA35,IF($O35="M-F",(AY35*5),IF($O35="T-Su",(AY35*4)+AZ35+BA35,IF($O35="T-Sa",(AY35*4)+AZ35,IF($O35="T-F",(AY35*4),IF($O35="Su-F",(AY35*5)+AZ35+BA35,(AY35*5+AZ35+BA35))))))))</f>
        <v>1648</v>
      </c>
      <c r="BF35" s="12" t="s">
        <v>55</v>
      </c>
      <c r="BG35" s="9"/>
      <c r="BH35" s="13" t="s">
        <v>55</v>
      </c>
    </row>
    <row r="36" spans="1:61" s="7" customFormat="1">
      <c r="A36" s="159" t="s">
        <v>90</v>
      </c>
      <c r="B36" s="1" t="s">
        <v>14</v>
      </c>
      <c r="C36" s="1" t="s">
        <v>15</v>
      </c>
      <c r="D36" s="36" t="s">
        <v>87</v>
      </c>
      <c r="E36" s="3" t="s">
        <v>91</v>
      </c>
      <c r="F36" s="140">
        <v>778400</v>
      </c>
      <c r="G36" s="1" t="s">
        <v>92</v>
      </c>
      <c r="H36" s="1" t="s">
        <v>19</v>
      </c>
      <c r="I36" s="1">
        <v>10</v>
      </c>
      <c r="J36" s="1">
        <v>301</v>
      </c>
      <c r="K36" s="1">
        <f>I36*J36</f>
        <v>3010</v>
      </c>
      <c r="L36" s="84"/>
      <c r="M36" s="84" t="s">
        <v>576</v>
      </c>
      <c r="N36" s="1" t="s">
        <v>20</v>
      </c>
      <c r="O36" s="3" t="s">
        <v>45</v>
      </c>
      <c r="P36" s="4" t="s">
        <v>89</v>
      </c>
      <c r="Q36" s="2" t="s">
        <v>23</v>
      </c>
      <c r="R36" s="144">
        <f>77713+30251+4137</f>
        <v>112101</v>
      </c>
      <c r="S36" s="142">
        <f>110527+28589+2909</f>
        <v>142025</v>
      </c>
      <c r="T36" s="143"/>
      <c r="U36" s="142">
        <v>2197</v>
      </c>
      <c r="V36" s="142">
        <v>2467</v>
      </c>
      <c r="W36" s="142"/>
      <c r="X36" s="144">
        <f>R36+U36</f>
        <v>114298</v>
      </c>
      <c r="Y36" s="142">
        <f>S36+V36</f>
        <v>144492</v>
      </c>
      <c r="Z36" s="143"/>
      <c r="AA36" s="142">
        <f>474+30251</f>
        <v>30725</v>
      </c>
      <c r="AB36" s="142">
        <f>3+28589</f>
        <v>28592</v>
      </c>
      <c r="AC36" s="142"/>
      <c r="AD36" s="148">
        <v>75255</v>
      </c>
      <c r="AE36" s="149">
        <v>107485</v>
      </c>
      <c r="AF36" s="150"/>
      <c r="AG36" s="149">
        <v>27612</v>
      </c>
      <c r="AH36" s="149">
        <v>36579</v>
      </c>
      <c r="AI36" s="149"/>
      <c r="AJ36" s="148">
        <f>AD36+AG36</f>
        <v>102867</v>
      </c>
      <c r="AK36" s="149">
        <f>AE36+AH36</f>
        <v>144064</v>
      </c>
      <c r="AL36" s="150">
        <f>AF36+AI36</f>
        <v>0</v>
      </c>
      <c r="AM36" s="148">
        <v>22163</v>
      </c>
      <c r="AN36" s="149">
        <v>32923</v>
      </c>
      <c r="AO36" s="150"/>
      <c r="AP36" s="152">
        <f>AVERAGE(R36,AD36)</f>
        <v>93678</v>
      </c>
      <c r="AQ36" s="152">
        <f>AVERAGE(S36,AE36)</f>
        <v>124755</v>
      </c>
      <c r="AR36" s="152"/>
      <c r="AS36" s="151">
        <f>AVERAGE(U36,AG36)</f>
        <v>14904.5</v>
      </c>
      <c r="AT36" s="152">
        <f>AVERAGE(V36,AH36)</f>
        <v>19523</v>
      </c>
      <c r="AU36" s="166"/>
      <c r="AV36" s="156">
        <f>AVERAGE(X36,AJ36)</f>
        <v>108582.5</v>
      </c>
      <c r="AW36" s="156">
        <f>AVERAGE(Y36,AK36)</f>
        <v>144278</v>
      </c>
      <c r="AX36" s="156">
        <f>AVERAGE(Z36,AL36)</f>
        <v>0</v>
      </c>
      <c r="AY36" s="151">
        <f>AVERAGE(AA36,AM36)</f>
        <v>26444</v>
      </c>
      <c r="AZ36" s="152">
        <f>AVERAGE(AB36,AN36)</f>
        <v>30757.5</v>
      </c>
      <c r="BA36" s="166"/>
      <c r="BB36" s="157">
        <f>IF($O36="M-Sa",(AV36*5)+AW36+AX36,IF($O36="m-su",(AV36*5)+AW36+AX36,IF($O36="M-F",(AV36*5),IF($O36="T-Su",(AV36*4)+AW36+AX36,IF($O36="T-Sa",(AV36*4)+AW36,IF($O36="T-F",(AV36*4),IF($O36="Su-F",(AV36*5)+AW36+AX36,(AV36*5+AW36+AX36))))))))</f>
        <v>687190.5</v>
      </c>
      <c r="BC36" s="157">
        <f>IF($O36="M-Sa",(BB36/6),IF($O36="m-su",(BB36/7),IF($O36="M-F",(BB36/5),IF($O36="T-Su",(BB36/6),IF($O36="T-Sa",(BB36/5),IF($O36="T-F",(BB36/4),IF($O36="Su-F",(BB36/6),(BB36/7))))))))</f>
        <v>114531.75</v>
      </c>
      <c r="BD36" s="167">
        <f>IF($O36="M-Sa",(AY36*5)+AZ36+BA36,IF($O36="m-su",(AY36*5)+AZ36+BA36,IF($O36="M-F",(AY36*5),IF($O36="T-Su",(AY36*4)+AZ36+BA36,IF($O36="T-Sa",(AY36*4)+AZ36,IF($O36="T-F",(AY36*4),IF($O36="Su-F",(AY36*5)+AZ36+BA36,(AY36*5+AZ36+BA36))))))))</f>
        <v>162977.5</v>
      </c>
      <c r="BE36" s="5"/>
      <c r="BF36" s="12" t="s">
        <v>55</v>
      </c>
      <c r="BG36" s="9"/>
      <c r="BH36" s="13" t="s">
        <v>55</v>
      </c>
      <c r="BI36" s="5"/>
    </row>
    <row r="37" spans="1:61" s="5" customFormat="1">
      <c r="A37" s="159" t="s">
        <v>93</v>
      </c>
      <c r="B37" s="1" t="s">
        <v>14</v>
      </c>
      <c r="C37" s="1" t="s">
        <v>15</v>
      </c>
      <c r="D37" s="36" t="s">
        <v>87</v>
      </c>
      <c r="E37" s="3" t="s">
        <v>91</v>
      </c>
      <c r="F37" s="140">
        <v>778400</v>
      </c>
      <c r="G37" s="1" t="s">
        <v>92</v>
      </c>
      <c r="H37" s="1" t="s">
        <v>26</v>
      </c>
      <c r="I37" s="1">
        <v>10</v>
      </c>
      <c r="J37" s="1">
        <v>160</v>
      </c>
      <c r="K37" s="1">
        <f>I37*J37</f>
        <v>1600</v>
      </c>
      <c r="L37" s="84" t="s">
        <v>334</v>
      </c>
      <c r="M37" s="84" t="s">
        <v>576</v>
      </c>
      <c r="N37" s="1" t="s">
        <v>20</v>
      </c>
      <c r="O37" s="3" t="s">
        <v>21</v>
      </c>
      <c r="P37" s="4" t="s">
        <v>27</v>
      </c>
      <c r="Q37" s="2" t="s">
        <v>28</v>
      </c>
      <c r="R37" s="144"/>
      <c r="S37" s="142"/>
      <c r="T37" s="143"/>
      <c r="U37" s="142"/>
      <c r="V37" s="142"/>
      <c r="W37" s="142"/>
      <c r="X37" s="144"/>
      <c r="Y37" s="142"/>
      <c r="Z37" s="143"/>
      <c r="AA37" s="142"/>
      <c r="AB37" s="142"/>
      <c r="AC37" s="142"/>
      <c r="AD37" s="148"/>
      <c r="AE37" s="149"/>
      <c r="AF37" s="150"/>
      <c r="AG37" s="149"/>
      <c r="AH37" s="149"/>
      <c r="AI37" s="149"/>
      <c r="AJ37" s="148">
        <f>AD37+AG37</f>
        <v>0</v>
      </c>
      <c r="AK37" s="149">
        <f>AE37+AH37</f>
        <v>0</v>
      </c>
      <c r="AL37" s="150">
        <f>AF37+AI37</f>
        <v>0</v>
      </c>
      <c r="AM37" s="148"/>
      <c r="AN37" s="149"/>
      <c r="AO37" s="150"/>
      <c r="AP37" s="152">
        <v>17918</v>
      </c>
      <c r="AQ37" s="152">
        <v>18844</v>
      </c>
      <c r="AR37" s="152">
        <v>20342</v>
      </c>
      <c r="AS37" s="151">
        <v>40169</v>
      </c>
      <c r="AT37" s="152">
        <v>31747</v>
      </c>
      <c r="AU37" s="166">
        <v>29788</v>
      </c>
      <c r="AV37" s="156">
        <f>AP37+AS37</f>
        <v>58087</v>
      </c>
      <c r="AW37" s="156">
        <f>AQ37+AT37</f>
        <v>50591</v>
      </c>
      <c r="AX37" s="156">
        <f>AR37+AU37</f>
        <v>50130</v>
      </c>
      <c r="AY37" s="151">
        <f>627+6701+18157</f>
        <v>25485</v>
      </c>
      <c r="AZ37" s="152">
        <f>674+7709+20764</f>
        <v>29147</v>
      </c>
      <c r="BA37" s="166">
        <f>643+7321+20122</f>
        <v>28086</v>
      </c>
      <c r="BB37" s="157">
        <f>IF($O37="M-Sa",(AV37*5)+AW37+AX37,IF($O37="m-su",(AV37*5)+AW37+AX37,IF($O37="M-F",(AV37*5),IF($O37="T-Su",(AV37*4)+AW37+AX37,IF($O37="T-Sa",(AV37*4)+AW37,IF($O37="T-F",(AV37*4),IF($O37="Su-F",(AV37*5)+AW37+AX37,(AV37*5+AW37+AX37))))))))</f>
        <v>391156</v>
      </c>
      <c r="BC37" s="157">
        <f>IF($O37="M-Sa",(BB37/6),IF($O37="m-su",(BB37/7),IF($O37="M-F",(BB37/5),IF($O37="T-Su",(BB37/6),IF($O37="T-Sa",(BB37/5),IF($O37="T-F",(BB37/4),IF($O37="Su-F",(BB37/6),(BB37/7))))))))</f>
        <v>55879.428571428572</v>
      </c>
      <c r="BD37" s="167">
        <f>IF($O37="M-Sa",(AY37*5)+AZ37+BA37,IF($O37="m-su",(AY37*5)+AZ37+BA37,IF($O37="M-F",(AY37*5),IF($O37="T-Su",(AY37*4)+AZ37+BA37,IF($O37="T-Sa",(AY37*4)+AZ37,IF($O37="T-F",(AY37*4),IF($O37="Su-F",(AY37*5)+AZ37+BA37,(AY37*5+AZ37+BA37))))))))</f>
        <v>184658</v>
      </c>
      <c r="BF37" s="6"/>
      <c r="BI37" s="8"/>
    </row>
    <row r="38" spans="1:61" s="5" customFormat="1">
      <c r="A38" s="159" t="s">
        <v>240</v>
      </c>
      <c r="B38" s="1" t="s">
        <v>14</v>
      </c>
      <c r="C38" s="1" t="s">
        <v>15</v>
      </c>
      <c r="D38" s="36" t="s">
        <v>87</v>
      </c>
      <c r="E38" s="3" t="s">
        <v>91</v>
      </c>
      <c r="F38" s="140">
        <v>778400</v>
      </c>
      <c r="G38" s="1" t="s">
        <v>92</v>
      </c>
      <c r="H38" s="1" t="s">
        <v>26</v>
      </c>
      <c r="I38" s="1">
        <v>6</v>
      </c>
      <c r="J38" s="1">
        <v>175</v>
      </c>
      <c r="K38" s="1">
        <f>I38*J38</f>
        <v>1050</v>
      </c>
      <c r="L38" s="1"/>
      <c r="M38" s="1" t="s">
        <v>577</v>
      </c>
      <c r="N38" s="1" t="s">
        <v>20</v>
      </c>
      <c r="O38" s="3" t="s">
        <v>36</v>
      </c>
      <c r="P38" s="4" t="s">
        <v>218</v>
      </c>
      <c r="Q38" s="2" t="s">
        <v>28</v>
      </c>
      <c r="R38" s="162"/>
      <c r="S38" s="160"/>
      <c r="T38" s="161"/>
      <c r="U38" s="160"/>
      <c r="V38" s="160"/>
      <c r="W38" s="160"/>
      <c r="X38" s="162"/>
      <c r="Y38" s="160"/>
      <c r="Z38" s="161"/>
      <c r="AA38" s="160"/>
      <c r="AB38" s="160"/>
      <c r="AC38" s="160"/>
      <c r="AD38" s="163"/>
      <c r="AE38" s="164"/>
      <c r="AF38" s="165"/>
      <c r="AG38" s="164"/>
      <c r="AH38" s="164"/>
      <c r="AI38" s="164"/>
      <c r="AJ38" s="163"/>
      <c r="AK38" s="164"/>
      <c r="AL38" s="165"/>
      <c r="AM38" s="163"/>
      <c r="AN38" s="164"/>
      <c r="AO38" s="165"/>
      <c r="AP38" s="1"/>
      <c r="AQ38" s="1"/>
      <c r="AR38" s="1"/>
      <c r="AS38" s="151">
        <v>41583</v>
      </c>
      <c r="AT38" s="152"/>
      <c r="AU38" s="166"/>
      <c r="AV38" s="156">
        <f>AP38+AS38</f>
        <v>41583</v>
      </c>
      <c r="AW38" s="156">
        <f>AQ38+AT38</f>
        <v>0</v>
      </c>
      <c r="AX38" s="156"/>
      <c r="AY38" s="36"/>
      <c r="AZ38" s="1"/>
      <c r="BA38" s="37"/>
      <c r="BB38" s="157">
        <f>IF($O38="M-Sa",(AV38*5)+AW38+AX38,IF($O38="m-su",(AV38*5)+AW38+AX38,IF($O38="M-F",(AV38*5),IF($O38="T-Su",(AV38*4)+AW38+AX38,IF($O38="T-Sa",(AV38*4)+AW38,IF($O38="T-F",(AV38*4),IF($O38="Su-F",(AV38*5)+AW38+AX38,(AV38*5+AW38+AX38))))))))</f>
        <v>207915</v>
      </c>
      <c r="BC38" s="157">
        <f>IF($O38="M-Sa",(BB38/6),IF($O38="m-su",(BB38/7),IF($O38="M-F",(BB38/5),IF($O38="T-Su",(BB38/6),IF($O38="T-Sa",(BB38/5),IF($O38="T-F",(BB38/4),IF($O38="Su-F",(BB38/6),(BB38/7))))))))</f>
        <v>41583</v>
      </c>
      <c r="BD38" s="167">
        <f>IF($O38="M-Sa",(AY38*5)+AZ38+BA38,IF($O38="m-su",(AY38*5)+AZ38+BA38,IF($O38="M-F",(AY38*5),IF($O38="T-Su",(AY38*4)+AZ38+BA38,IF($O38="T-Sa",(AY38*4)+AZ38,IF($O38="T-F",(AY38*4),IF($O38="Su-F",(AY38*5)+AZ38+BA38,(AY38*5+AZ38+BA38))))))))</f>
        <v>0</v>
      </c>
      <c r="BE38" s="34"/>
      <c r="BF38" s="3"/>
      <c r="BG38" s="168">
        <v>2011</v>
      </c>
      <c r="BH38" s="35" t="s">
        <v>241</v>
      </c>
    </row>
    <row r="39" spans="1:61" s="5" customFormat="1">
      <c r="A39" s="191" t="s">
        <v>431</v>
      </c>
      <c r="B39" s="14" t="s">
        <v>94</v>
      </c>
      <c r="C39" s="14" t="s">
        <v>95</v>
      </c>
      <c r="D39" s="38" t="s">
        <v>96</v>
      </c>
      <c r="E39" s="17" t="s">
        <v>97</v>
      </c>
      <c r="F39" s="192">
        <v>4276</v>
      </c>
      <c r="G39" s="14" t="s">
        <v>53</v>
      </c>
      <c r="H39" s="14" t="s">
        <v>26</v>
      </c>
      <c r="I39" s="14">
        <v>12</v>
      </c>
      <c r="J39" s="14">
        <v>160</v>
      </c>
      <c r="K39" s="14">
        <f>I39*J39</f>
        <v>1920</v>
      </c>
      <c r="L39" s="204"/>
      <c r="M39" s="84" t="s">
        <v>576</v>
      </c>
      <c r="N39" s="14" t="s">
        <v>20</v>
      </c>
      <c r="O39" s="17" t="s">
        <v>45</v>
      </c>
      <c r="P39" s="18" t="s">
        <v>98</v>
      </c>
      <c r="Q39" s="15" t="s">
        <v>353</v>
      </c>
      <c r="R39" s="207"/>
      <c r="S39" s="205"/>
      <c r="T39" s="206"/>
      <c r="U39" s="205"/>
      <c r="V39" s="205"/>
      <c r="W39" s="205"/>
      <c r="X39" s="207"/>
      <c r="Y39" s="205"/>
      <c r="Z39" s="206"/>
      <c r="AA39" s="205"/>
      <c r="AB39" s="205"/>
      <c r="AC39" s="205"/>
      <c r="AD39" s="208"/>
      <c r="AE39" s="209"/>
      <c r="AF39" s="210"/>
      <c r="AG39" s="209"/>
      <c r="AH39" s="209"/>
      <c r="AI39" s="209"/>
      <c r="AJ39" s="208">
        <f>AD39+AG39</f>
        <v>0</v>
      </c>
      <c r="AK39" s="209">
        <f>AE39+AH39</f>
        <v>0</v>
      </c>
      <c r="AL39" s="210">
        <f>AF39+AI39</f>
        <v>0</v>
      </c>
      <c r="AM39" s="208"/>
      <c r="AN39" s="209"/>
      <c r="AO39" s="210"/>
      <c r="AP39" s="200">
        <v>18102</v>
      </c>
      <c r="AQ39" s="200">
        <v>18102</v>
      </c>
      <c r="AR39" s="200"/>
      <c r="AS39" s="199"/>
      <c r="AT39" s="200"/>
      <c r="AU39" s="201"/>
      <c r="AV39" s="202">
        <f>AP39+AS39</f>
        <v>18102</v>
      </c>
      <c r="AW39" s="202">
        <f>AQ39+AT39</f>
        <v>18102</v>
      </c>
      <c r="AX39" s="202">
        <f>AR39+AU39</f>
        <v>0</v>
      </c>
      <c r="AY39" s="199"/>
      <c r="AZ39" s="200"/>
      <c r="BA39" s="201"/>
      <c r="BB39" s="211">
        <f>IF($O39="M-Sa",(AV39*5)+AW39+AX39,IF($O39="m-su",(AV39*5)+AW39+AX39,IF($O39="M-F",(AV39*5),IF($O39="T-Su",(AV39*4)+AW39+AX39,IF($O39="T-Sa",(AV39*4)+AW39,IF($O39="T-F",(AV39*4),IF($O39="Su-F",(AV39*5)+AW39+AX39,(AV39*5+AW39+AX39))))))))</f>
        <v>108612</v>
      </c>
      <c r="BC39" s="211">
        <f>IF($O39="M-Sa",(BB39/6),IF($O39="m-su",(BB39/7),IF($O39="M-F",(BB39/5),IF($O39="T-Su",(BB39/6),IF($O39="T-Sa",(BB39/5),IF($O39="T-F",(BB39/4),IF($O39="Su-F",(BB39/6),(BB39/7))))))))</f>
        <v>18102</v>
      </c>
      <c r="BD39" s="212">
        <f>IF($O39="M-Sa",(AY39*5)+AZ39+BA39,IF($O39="m-su",(AY39*5)+AZ39+BA39,IF($O39="M-F",(AY39*5),IF($O39="T-Su",(AY39*4)+AZ39+BA39,IF($O39="T-Sa",(AY39*4)+AZ39,IF($O39="T-F",(AY39*4),IF($O39="Su-F",(AY39*5)+AZ39+BA39,(AY39*5+AZ39+BA39))))))))</f>
        <v>0</v>
      </c>
      <c r="BE39" s="16"/>
      <c r="BF39" s="19" t="s">
        <v>99</v>
      </c>
      <c r="BG39" s="16"/>
      <c r="BH39" s="16"/>
      <c r="BI39" s="16"/>
    </row>
    <row r="40" spans="1:61" s="5" customFormat="1">
      <c r="A40" s="191" t="s">
        <v>321</v>
      </c>
      <c r="B40" s="14" t="s">
        <v>14</v>
      </c>
      <c r="C40" s="14" t="s">
        <v>95</v>
      </c>
      <c r="D40" s="38" t="s">
        <v>96</v>
      </c>
      <c r="E40" s="17" t="s">
        <v>100</v>
      </c>
      <c r="F40" s="192">
        <v>94268</v>
      </c>
      <c r="G40" s="14" t="s">
        <v>34</v>
      </c>
      <c r="H40" s="14" t="s">
        <v>19</v>
      </c>
      <c r="I40" s="14">
        <v>10</v>
      </c>
      <c r="J40" s="14">
        <v>294</v>
      </c>
      <c r="K40" s="14">
        <f>I40*J40</f>
        <v>2940</v>
      </c>
      <c r="L40" s="204" t="s">
        <v>336</v>
      </c>
      <c r="M40" s="84" t="s">
        <v>576</v>
      </c>
      <c r="N40" s="14" t="s">
        <v>35</v>
      </c>
      <c r="O40" s="17" t="s">
        <v>45</v>
      </c>
      <c r="P40" s="18" t="s">
        <v>101</v>
      </c>
      <c r="Q40" s="15" t="s">
        <v>23</v>
      </c>
      <c r="R40" s="207">
        <f>16520-634</f>
        <v>15886</v>
      </c>
      <c r="S40" s="205">
        <f>16969-509</f>
        <v>16460</v>
      </c>
      <c r="T40" s="206"/>
      <c r="U40" s="205">
        <f>634+55</f>
        <v>689</v>
      </c>
      <c r="V40" s="205">
        <f>509+48</f>
        <v>557</v>
      </c>
      <c r="W40" s="205"/>
      <c r="X40" s="207">
        <f>R40+U40</f>
        <v>16575</v>
      </c>
      <c r="Y40" s="205">
        <f>S40+V40</f>
        <v>17017</v>
      </c>
      <c r="Z40" s="206"/>
      <c r="AA40" s="205"/>
      <c r="AB40" s="205"/>
      <c r="AC40" s="205"/>
      <c r="AD40" s="428"/>
      <c r="AE40" s="429"/>
      <c r="AF40" s="430"/>
      <c r="AG40" s="429"/>
      <c r="AH40" s="429"/>
      <c r="AI40" s="429"/>
      <c r="AJ40" s="428"/>
      <c r="AK40" s="429"/>
      <c r="AL40" s="430"/>
      <c r="AM40" s="428"/>
      <c r="AN40" s="429"/>
      <c r="AO40" s="430"/>
      <c r="AP40" s="200">
        <f>AVERAGE(R40,AD40)</f>
        <v>15886</v>
      </c>
      <c r="AQ40" s="200">
        <f>AVERAGE(S40,AE40)</f>
        <v>16460</v>
      </c>
      <c r="AR40" s="200"/>
      <c r="AS40" s="199">
        <f>AVERAGE(U40,AG40)</f>
        <v>689</v>
      </c>
      <c r="AT40" s="200">
        <f>AVERAGE(V40,AH40)</f>
        <v>557</v>
      </c>
      <c r="AU40" s="201"/>
      <c r="AV40" s="202">
        <f>AVERAGE(X40,AJ40)</f>
        <v>16575</v>
      </c>
      <c r="AW40" s="202">
        <f>AVERAGE(Y40,AK40)</f>
        <v>17017</v>
      </c>
      <c r="AX40" s="202"/>
      <c r="AY40" s="199"/>
      <c r="AZ40" s="200"/>
      <c r="BA40" s="201"/>
      <c r="BB40" s="211">
        <f>IF($O40="M-Sa",(AV40*5)+AW40+AX40,IF($O40="m-su",(AV40*5)+AW40+AX40,IF($O40="M-F",(AV40*5),IF($O40="T-Su",(AV40*4)+AW40+AX40,IF($O40="T-Sa",(AV40*4)+AW40,IF($O40="T-F",(AV40*4),IF($O40="Su-F",(AV40*5)+AW40+AX40,(AV40*5+AW40+AX40))))))))</f>
        <v>99892</v>
      </c>
      <c r="BC40" s="211">
        <f>IF($O40="M-Sa",(BB40/6),IF($O40="m-su",(BB40/7),IF($O40="M-F",(BB40/5),IF($O40="T-Su",(BB40/6),IF($O40="T-Sa",(BB40/5),IF($O40="T-F",(BB40/4),IF($O40="Su-F",(BB40/6),(BB40/7))))))))</f>
        <v>16648.666666666668</v>
      </c>
      <c r="BD40" s="212">
        <f>IF($O40="M-Sa",(AY40*5)+AZ40+BA40,IF($O40="m-su",(AY40*5)+AZ40+BA40,IF($O40="M-F",(AY40*5),IF($O40="T-Su",(AY40*4)+AZ40+BA40,IF($O40="T-Sa",(AY40*4)+AZ40,IF($O40="T-F",(AY40*4),IF($O40="Su-F",(AY40*5)+AZ40+BA40,(AY40*5+AZ40+BA40))))))))</f>
        <v>0</v>
      </c>
      <c r="BE40" s="16"/>
      <c r="BF40" s="213" t="s">
        <v>55</v>
      </c>
      <c r="BG40" s="214"/>
      <c r="BH40" s="214" t="s">
        <v>55</v>
      </c>
      <c r="BI40" s="16"/>
    </row>
    <row r="41" spans="1:61" s="5" customFormat="1">
      <c r="A41" s="191" t="s">
        <v>432</v>
      </c>
      <c r="B41" s="14" t="s">
        <v>14</v>
      </c>
      <c r="C41" s="14" t="s">
        <v>95</v>
      </c>
      <c r="D41" s="38" t="s">
        <v>96</v>
      </c>
      <c r="E41" s="17" t="s">
        <v>102</v>
      </c>
      <c r="F41" s="192">
        <v>143000</v>
      </c>
      <c r="G41" s="14" t="s">
        <v>41</v>
      </c>
      <c r="H41" s="14" t="s">
        <v>19</v>
      </c>
      <c r="I41" s="14">
        <v>10</v>
      </c>
      <c r="J41" s="14">
        <v>294</v>
      </c>
      <c r="K41" s="14">
        <f>I41*J41</f>
        <v>2940</v>
      </c>
      <c r="L41" s="204" t="s">
        <v>336</v>
      </c>
      <c r="M41" s="84" t="s">
        <v>576</v>
      </c>
      <c r="N41" s="14" t="s">
        <v>20</v>
      </c>
      <c r="O41" s="17" t="s">
        <v>45</v>
      </c>
      <c r="P41" s="18" t="s">
        <v>101</v>
      </c>
      <c r="Q41" s="15" t="s">
        <v>23</v>
      </c>
      <c r="R41" s="207">
        <f>29331-1852</f>
        <v>27479</v>
      </c>
      <c r="S41" s="205">
        <f>31186-1680</f>
        <v>29506</v>
      </c>
      <c r="T41" s="206"/>
      <c r="U41" s="205">
        <f>1852+86</f>
        <v>1938</v>
      </c>
      <c r="V41" s="205">
        <f>1680+84</f>
        <v>1764</v>
      </c>
      <c r="W41" s="205"/>
      <c r="X41" s="207">
        <f>R41+U41</f>
        <v>29417</v>
      </c>
      <c r="Y41" s="205">
        <f>S41+V41</f>
        <v>31270</v>
      </c>
      <c r="Z41" s="206"/>
      <c r="AA41" s="205"/>
      <c r="AB41" s="205"/>
      <c r="AC41" s="205"/>
      <c r="AD41" s="428"/>
      <c r="AE41" s="429"/>
      <c r="AF41" s="430"/>
      <c r="AG41" s="429"/>
      <c r="AH41" s="429"/>
      <c r="AI41" s="429"/>
      <c r="AJ41" s="428"/>
      <c r="AK41" s="429"/>
      <c r="AL41" s="430"/>
      <c r="AM41" s="428"/>
      <c r="AN41" s="429"/>
      <c r="AO41" s="430"/>
      <c r="AP41" s="200">
        <f>AVERAGE(R41,AD41)</f>
        <v>27479</v>
      </c>
      <c r="AQ41" s="200">
        <f>AVERAGE(S41,AE41)</f>
        <v>29506</v>
      </c>
      <c r="AR41" s="200"/>
      <c r="AS41" s="199">
        <f>AVERAGE(U41,AG41)</f>
        <v>1938</v>
      </c>
      <c r="AT41" s="200">
        <f>AVERAGE(V41,AH41)</f>
        <v>1764</v>
      </c>
      <c r="AU41" s="201"/>
      <c r="AV41" s="202">
        <f>AVERAGE(X41,AJ41)</f>
        <v>29417</v>
      </c>
      <c r="AW41" s="202">
        <f>AVERAGE(Y41,AK41)</f>
        <v>31270</v>
      </c>
      <c r="AX41" s="202"/>
      <c r="AY41" s="199"/>
      <c r="AZ41" s="200"/>
      <c r="BA41" s="201"/>
      <c r="BB41" s="211">
        <f>IF($O41="M-Sa",(AV41*5)+AW41+AX41,IF($O41="m-su",(AV41*5)+AW41+AX41,IF($O41="M-F",(AV41*5),IF($O41="T-Su",(AV41*4)+AW41+AX41,IF($O41="T-Sa",(AV41*4)+AW41,IF($O41="T-F",(AV41*4),IF($O41="Su-F",(AV41*5)+AW41+AX41,(AV41*5+AW41+AX41))))))))</f>
        <v>178355</v>
      </c>
      <c r="BC41" s="211">
        <f>IF($O41="M-Sa",(BB41/6),IF($O41="m-su",(BB41/7),IF($O41="M-F",(BB41/5),IF($O41="T-Su",(BB41/6),IF($O41="T-Sa",(BB41/5),IF($O41="T-F",(BB41/4),IF($O41="Su-F",(BB41/6),(BB41/7))))))))</f>
        <v>29725.833333333332</v>
      </c>
      <c r="BD41" s="212">
        <f>IF($O41="M-Sa",(AY41*5)+AZ41+BA41,IF($O41="m-su",(AY41*5)+AZ41+BA41,IF($O41="M-F",(AY41*5),IF($O41="T-Su",(AY41*4)+AZ41+BA41,IF($O41="T-Sa",(AY41*4)+AZ41,IF($O41="T-F",(AY41*4),IF($O41="Su-F",(AY41*5)+AZ41+BA41,(AY41*5+AZ41+BA41))))))))</f>
        <v>0</v>
      </c>
      <c r="BE41" s="16"/>
      <c r="BF41" s="19" t="s">
        <v>55</v>
      </c>
      <c r="BG41" s="16"/>
      <c r="BH41" s="16"/>
      <c r="BI41" s="16"/>
    </row>
    <row r="42" spans="1:61" s="5" customFormat="1">
      <c r="A42" s="191" t="s">
        <v>433</v>
      </c>
      <c r="B42" s="14" t="s">
        <v>14</v>
      </c>
      <c r="C42" s="14" t="s">
        <v>95</v>
      </c>
      <c r="D42" s="38" t="s">
        <v>96</v>
      </c>
      <c r="E42" s="17" t="s">
        <v>103</v>
      </c>
      <c r="F42" s="192">
        <v>128900</v>
      </c>
      <c r="G42" s="14" t="s">
        <v>41</v>
      </c>
      <c r="H42" s="14" t="s">
        <v>19</v>
      </c>
      <c r="I42" s="14">
        <v>10</v>
      </c>
      <c r="J42" s="14">
        <v>294</v>
      </c>
      <c r="K42" s="14">
        <f>I42*J42</f>
        <v>2940</v>
      </c>
      <c r="L42" s="204" t="s">
        <v>336</v>
      </c>
      <c r="M42" s="84" t="s">
        <v>576</v>
      </c>
      <c r="N42" s="14" t="s">
        <v>20</v>
      </c>
      <c r="O42" s="17" t="s">
        <v>45</v>
      </c>
      <c r="P42" s="18" t="s">
        <v>101</v>
      </c>
      <c r="Q42" s="15" t="s">
        <v>23</v>
      </c>
      <c r="R42" s="207">
        <f>26739-2472</f>
        <v>24267</v>
      </c>
      <c r="S42" s="205">
        <f>28512-2368</f>
        <v>26144</v>
      </c>
      <c r="T42" s="206"/>
      <c r="U42" s="205">
        <f>2472+93</f>
        <v>2565</v>
      </c>
      <c r="V42" s="205">
        <f>2368+93</f>
        <v>2461</v>
      </c>
      <c r="W42" s="205"/>
      <c r="X42" s="207">
        <f>R42+U42</f>
        <v>26832</v>
      </c>
      <c r="Y42" s="205">
        <f>S42+V42</f>
        <v>28605</v>
      </c>
      <c r="Z42" s="206"/>
      <c r="AA42" s="205"/>
      <c r="AB42" s="205"/>
      <c r="AC42" s="205"/>
      <c r="AD42" s="428"/>
      <c r="AE42" s="429"/>
      <c r="AF42" s="430"/>
      <c r="AG42" s="429"/>
      <c r="AH42" s="429"/>
      <c r="AI42" s="429"/>
      <c r="AJ42" s="428"/>
      <c r="AK42" s="429"/>
      <c r="AL42" s="430"/>
      <c r="AM42" s="428"/>
      <c r="AN42" s="429"/>
      <c r="AO42" s="430"/>
      <c r="AP42" s="200">
        <f>AVERAGE(R42,AD42)</f>
        <v>24267</v>
      </c>
      <c r="AQ42" s="200">
        <f>AVERAGE(S42,AE42)</f>
        <v>26144</v>
      </c>
      <c r="AR42" s="200"/>
      <c r="AS42" s="199">
        <f>AVERAGE(U42,AG42)</f>
        <v>2565</v>
      </c>
      <c r="AT42" s="200">
        <f>AVERAGE(V42,AH42)</f>
        <v>2461</v>
      </c>
      <c r="AU42" s="201"/>
      <c r="AV42" s="202">
        <f>AVERAGE(X42,AJ42)</f>
        <v>26832</v>
      </c>
      <c r="AW42" s="202">
        <f>AVERAGE(Y42,AK42)</f>
        <v>28605</v>
      </c>
      <c r="AX42" s="202"/>
      <c r="AY42" s="199"/>
      <c r="AZ42" s="200"/>
      <c r="BA42" s="201"/>
      <c r="BB42" s="211">
        <f>IF($O42="M-Sa",(AV42*5)+AW42+AX42,IF($O42="m-su",(AV42*5)+AW42+AX42,IF($O42="M-F",(AV42*5),IF($O42="T-Su",(AV42*4)+AW42+AX42,IF($O42="T-Sa",(AV42*4)+AW42,IF($O42="T-F",(AV42*4),IF($O42="Su-F",(AV42*5)+AW42+AX42,(AV42*5+AW42+AX42))))))))</f>
        <v>162765</v>
      </c>
      <c r="BC42" s="211">
        <f>IF($O42="M-Sa",(BB42/6),IF($O42="m-su",(BB42/7),IF($O42="M-F",(BB42/5),IF($O42="T-Su",(BB42/6),IF($O42="T-Sa",(BB42/5),IF($O42="T-F",(BB42/4),IF($O42="Su-F",(BB42/6),(BB42/7))))))))</f>
        <v>27127.5</v>
      </c>
      <c r="BD42" s="212">
        <f>IF($O42="M-Sa",(AY42*5)+AZ42+BA42,IF($O42="m-su",(AY42*5)+AZ42+BA42,IF($O42="M-F",(AY42*5),IF($O42="T-Su",(AY42*4)+AZ42+BA42,IF($O42="T-Sa",(AY42*4)+AZ42,IF($O42="T-F",(AY42*4),IF($O42="Su-F",(AY42*5)+AZ42+BA42,(AY42*5+AZ42+BA42))))))))</f>
        <v>0</v>
      </c>
      <c r="BE42" s="16"/>
      <c r="BF42" s="19"/>
      <c r="BG42" s="16"/>
      <c r="BH42" s="16"/>
      <c r="BI42" s="25"/>
    </row>
    <row r="43" spans="1:61" s="16" customFormat="1">
      <c r="A43" s="159" t="s">
        <v>434</v>
      </c>
      <c r="B43" s="1" t="s">
        <v>14</v>
      </c>
      <c r="C43" s="1" t="s">
        <v>95</v>
      </c>
      <c r="D43" s="36" t="s">
        <v>105</v>
      </c>
      <c r="E43" s="3" t="s">
        <v>106</v>
      </c>
      <c r="F43" s="140">
        <v>27202</v>
      </c>
      <c r="G43" s="1" t="s">
        <v>53</v>
      </c>
      <c r="H43" s="1" t="s">
        <v>19</v>
      </c>
      <c r="I43" s="1">
        <v>10</v>
      </c>
      <c r="J43" s="1">
        <v>301</v>
      </c>
      <c r="K43" s="1">
        <f>I43*J43</f>
        <v>3010</v>
      </c>
      <c r="L43" s="84"/>
      <c r="M43" s="84" t="s">
        <v>576</v>
      </c>
      <c r="N43" s="1" t="s">
        <v>20</v>
      </c>
      <c r="O43" s="3" t="s">
        <v>45</v>
      </c>
      <c r="P43" s="4" t="s">
        <v>107</v>
      </c>
      <c r="Q43" s="2" t="s">
        <v>28</v>
      </c>
      <c r="R43" s="144"/>
      <c r="S43" s="142"/>
      <c r="T43" s="143"/>
      <c r="U43" s="142"/>
      <c r="V43" s="142"/>
      <c r="W43" s="142"/>
      <c r="X43" s="144"/>
      <c r="Y43" s="142"/>
      <c r="Z43" s="143"/>
      <c r="AA43" s="142"/>
      <c r="AB43" s="142"/>
      <c r="AC43" s="142"/>
      <c r="AD43" s="148"/>
      <c r="AE43" s="149"/>
      <c r="AF43" s="150"/>
      <c r="AG43" s="149"/>
      <c r="AH43" s="149"/>
      <c r="AI43" s="149"/>
      <c r="AJ43" s="148">
        <f>AD43+AG43</f>
        <v>0</v>
      </c>
      <c r="AK43" s="149">
        <f>AE43+AH43</f>
        <v>0</v>
      </c>
      <c r="AL43" s="150">
        <f>AF43+AI43</f>
        <v>0</v>
      </c>
      <c r="AM43" s="148"/>
      <c r="AN43" s="149"/>
      <c r="AO43" s="150"/>
      <c r="AP43" s="152">
        <v>5015</v>
      </c>
      <c r="AQ43" s="152">
        <v>5765</v>
      </c>
      <c r="AR43" s="152"/>
      <c r="AS43" s="151">
        <v>384</v>
      </c>
      <c r="AT43" s="152">
        <v>103</v>
      </c>
      <c r="AU43" s="166"/>
      <c r="AV43" s="156">
        <f>AP43+AS43</f>
        <v>5399</v>
      </c>
      <c r="AW43" s="156">
        <f>AQ43+AT43</f>
        <v>5868</v>
      </c>
      <c r="AX43" s="156">
        <f>AR43+AU43</f>
        <v>0</v>
      </c>
      <c r="AY43" s="151">
        <v>72</v>
      </c>
      <c r="AZ43" s="152">
        <v>74</v>
      </c>
      <c r="BA43" s="166"/>
      <c r="BB43" s="157">
        <f>IF($O43="M-Sa",(AV43*5)+AW43+AX43,IF($O43="m-su",(AV43*5)+AW43+AX43,IF($O43="M-F",(AV43*5),IF($O43="T-Su",(AV43*4)+AW43+AX43,IF($O43="T-Sa",(AV43*4)+AW43,IF($O43="T-F",(AV43*4),IF($O43="Su-F",(AV43*5)+AW43+AX43,(AV43*5+AW43+AX43))))))))</f>
        <v>32863</v>
      </c>
      <c r="BC43" s="157">
        <f>IF($O43="M-Sa",(BB43/6),IF($O43="m-su",(BB43/7),IF($O43="M-F",(BB43/5),IF($O43="T-Su",(BB43/6),IF($O43="T-Sa",(BB43/5),IF($O43="T-F",(BB43/4),IF($O43="Su-F",(BB43/6),(BB43/7))))))))</f>
        <v>5477.166666666667</v>
      </c>
      <c r="BD43" s="167">
        <f>IF($O43="M-Sa",(AY43*5)+AZ43+BA43,IF($O43="m-su",(AY43*5)+AZ43+BA43,IF($O43="M-F",(AY43*5),IF($O43="T-Su",(AY43*4)+AZ43+BA43,IF($O43="T-Sa",(AY43*4)+AZ43,IF($O43="T-F",(AY43*4),IF($O43="Su-F",(AY43*5)+AZ43+BA43,(AY43*5+AZ43+BA43))))))))</f>
        <v>434</v>
      </c>
      <c r="BE43" s="5"/>
      <c r="BF43" s="6"/>
      <c r="BG43" s="5"/>
      <c r="BH43" s="5"/>
      <c r="BI43" s="8"/>
    </row>
    <row r="44" spans="1:61" s="5" customFormat="1">
      <c r="A44" s="159" t="s">
        <v>435</v>
      </c>
      <c r="B44" s="1" t="s">
        <v>14</v>
      </c>
      <c r="C44" s="1" t="s">
        <v>95</v>
      </c>
      <c r="D44" s="36" t="s">
        <v>105</v>
      </c>
      <c r="E44" s="3" t="s">
        <v>108</v>
      </c>
      <c r="F44" s="140">
        <v>200600</v>
      </c>
      <c r="G44" s="1" t="s">
        <v>41</v>
      </c>
      <c r="H44" s="1" t="s">
        <v>19</v>
      </c>
      <c r="I44" s="1">
        <v>10</v>
      </c>
      <c r="J44" s="1">
        <v>301</v>
      </c>
      <c r="K44" s="1">
        <f>I44*J44</f>
        <v>3010</v>
      </c>
      <c r="L44" s="84"/>
      <c r="M44" s="84" t="s">
        <v>576</v>
      </c>
      <c r="N44" s="1" t="s">
        <v>35</v>
      </c>
      <c r="O44" s="3" t="s">
        <v>21</v>
      </c>
      <c r="P44" s="4" t="s">
        <v>107</v>
      </c>
      <c r="Q44" s="2" t="s">
        <v>28</v>
      </c>
      <c r="R44" s="144"/>
      <c r="S44" s="142"/>
      <c r="T44" s="143"/>
      <c r="U44" s="142"/>
      <c r="V44" s="142"/>
      <c r="W44" s="142"/>
      <c r="X44" s="144"/>
      <c r="Y44" s="142"/>
      <c r="Z44" s="143"/>
      <c r="AA44" s="142"/>
      <c r="AB44" s="142"/>
      <c r="AC44" s="142"/>
      <c r="AD44" s="148"/>
      <c r="AE44" s="149"/>
      <c r="AF44" s="150"/>
      <c r="AG44" s="149"/>
      <c r="AH44" s="149"/>
      <c r="AI44" s="149"/>
      <c r="AJ44" s="148">
        <f>AD44+AG44</f>
        <v>0</v>
      </c>
      <c r="AK44" s="149">
        <f>AE44+AH44</f>
        <v>0</v>
      </c>
      <c r="AL44" s="150">
        <f>AF44+AI44</f>
        <v>0</v>
      </c>
      <c r="AM44" s="148"/>
      <c r="AN44" s="149"/>
      <c r="AO44" s="150"/>
      <c r="AP44" s="152">
        <v>16903</v>
      </c>
      <c r="AQ44" s="152">
        <v>28709</v>
      </c>
      <c r="AR44" s="152"/>
      <c r="AS44" s="151">
        <v>10810</v>
      </c>
      <c r="AT44" s="152">
        <v>7954</v>
      </c>
      <c r="AU44" s="166"/>
      <c r="AV44" s="156">
        <f>AP44+AS44</f>
        <v>27713</v>
      </c>
      <c r="AW44" s="156">
        <f>AQ44+AT44</f>
        <v>36663</v>
      </c>
      <c r="AX44" s="156">
        <f>AR44+AU44</f>
        <v>0</v>
      </c>
      <c r="AY44" s="151">
        <f>1295+761+6439</f>
        <v>8495</v>
      </c>
      <c r="AZ44" s="152">
        <f>1266+757+6042</f>
        <v>8065</v>
      </c>
      <c r="BA44" s="166"/>
      <c r="BB44" s="157">
        <f>IF($O44="M-Sa",(AV44*5)+AW44+AX44,IF($O44="m-su",(AV44*5)+AW44+AX44,IF($O44="M-F",(AV44*5),IF($O44="T-Su",(AV44*4)+AW44+AX44,IF($O44="T-Sa",(AV44*4)+AW44,IF($O44="T-F",(AV44*4),IF($O44="Su-F",(AV44*5)+AW44+AX44,(AV44*5+AW44+AX44))))))))</f>
        <v>175228</v>
      </c>
      <c r="BC44" s="157">
        <f>IF($O44="M-Sa",(BB44/6),IF($O44="m-su",(BB44/7),IF($O44="M-F",(BB44/5),IF($O44="T-Su",(BB44/6),IF($O44="T-Sa",(BB44/5),IF($O44="T-F",(BB44/4),IF($O44="Su-F",(BB44/6),(BB44/7))))))))</f>
        <v>25032.571428571428</v>
      </c>
      <c r="BD44" s="167">
        <f>IF($O44="M-Sa",(AY44*5)+AZ44+BA44,IF($O44="m-su",(AY44*5)+AZ44+BA44,IF($O44="M-F",(AY44*5),IF($O44="T-Su",(AY44*4)+AZ44+BA44,IF($O44="T-Sa",(AY44*4)+AZ44,IF($O44="T-F",(AY44*4),IF($O44="Su-F",(AY44*5)+AZ44+BA44,(AY44*5+AZ44+BA44))))))))</f>
        <v>50540</v>
      </c>
      <c r="BF44" s="6"/>
    </row>
    <row r="45" spans="1:61" s="5" customFormat="1">
      <c r="A45" s="159" t="s">
        <v>436</v>
      </c>
      <c r="B45" s="1" t="s">
        <v>14</v>
      </c>
      <c r="C45" s="1" t="s">
        <v>95</v>
      </c>
      <c r="D45" s="36" t="s">
        <v>109</v>
      </c>
      <c r="E45" s="3" t="s">
        <v>111</v>
      </c>
      <c r="F45" s="140">
        <v>413700</v>
      </c>
      <c r="G45" s="1" t="s">
        <v>41</v>
      </c>
      <c r="H45" s="1" t="s">
        <v>19</v>
      </c>
      <c r="I45" s="1"/>
      <c r="J45" s="1"/>
      <c r="K45" s="1">
        <f>I45*J45</f>
        <v>0</v>
      </c>
      <c r="L45" s="84" t="s">
        <v>437</v>
      </c>
      <c r="M45" s="84" t="s">
        <v>576</v>
      </c>
      <c r="N45" s="1" t="s">
        <v>20</v>
      </c>
      <c r="O45" s="3" t="s">
        <v>21</v>
      </c>
      <c r="P45" s="4" t="s">
        <v>112</v>
      </c>
      <c r="Q45" s="2" t="s">
        <v>23</v>
      </c>
      <c r="R45" s="144">
        <f>81783+17912+3972</f>
        <v>103667</v>
      </c>
      <c r="S45" s="142">
        <f>85992+16521+3638</f>
        <v>106151</v>
      </c>
      <c r="T45" s="143">
        <f>71920+16520+3471</f>
        <v>91911</v>
      </c>
      <c r="U45" s="142">
        <v>97</v>
      </c>
      <c r="V45" s="142">
        <v>82</v>
      </c>
      <c r="W45" s="142">
        <v>90</v>
      </c>
      <c r="X45" s="144">
        <f>R45+U45</f>
        <v>103764</v>
      </c>
      <c r="Y45" s="142">
        <f>S45+V45</f>
        <v>106233</v>
      </c>
      <c r="Z45" s="143"/>
      <c r="AA45" s="142">
        <f>522+895+16514</f>
        <v>17931</v>
      </c>
      <c r="AB45" s="142">
        <f>522+895+16514</f>
        <v>17931</v>
      </c>
      <c r="AC45" s="142">
        <f>522+895+16514</f>
        <v>17931</v>
      </c>
      <c r="AD45" s="148">
        <v>74612</v>
      </c>
      <c r="AE45" s="149">
        <v>80584</v>
      </c>
      <c r="AF45" s="150"/>
      <c r="AG45" s="149">
        <v>14281</v>
      </c>
      <c r="AH45" s="149">
        <v>4662</v>
      </c>
      <c r="AI45" s="149"/>
      <c r="AJ45" s="148">
        <f>AD45+AG45</f>
        <v>88893</v>
      </c>
      <c r="AK45" s="149">
        <f>AE45+AH45</f>
        <v>85246</v>
      </c>
      <c r="AL45" s="150">
        <f>AF45+AI45</f>
        <v>0</v>
      </c>
      <c r="AM45" s="148">
        <f>9779+292</f>
        <v>10071</v>
      </c>
      <c r="AN45" s="149">
        <f>1457+312</f>
        <v>1769</v>
      </c>
      <c r="AO45" s="150"/>
      <c r="AP45" s="152">
        <f>AVERAGE(R45,AD45)</f>
        <v>89139.5</v>
      </c>
      <c r="AQ45" s="152">
        <f>AVERAGE(S45,AE45)</f>
        <v>93367.5</v>
      </c>
      <c r="AR45" s="152"/>
      <c r="AS45" s="151">
        <f>AVERAGE(U45,AG45)</f>
        <v>7189</v>
      </c>
      <c r="AT45" s="152">
        <f>AVERAGE(V45,AH45)</f>
        <v>2372</v>
      </c>
      <c r="AU45" s="166"/>
      <c r="AV45" s="156">
        <f>AVERAGE(X45,AJ45)</f>
        <v>96328.5</v>
      </c>
      <c r="AW45" s="156">
        <f>AVERAGE(Y45,AK45)</f>
        <v>95739.5</v>
      </c>
      <c r="AX45" s="156">
        <f>AVERAGE(Z45,AL45)</f>
        <v>0</v>
      </c>
      <c r="AY45" s="151">
        <f>AVERAGE(AA45,AM45)</f>
        <v>14001</v>
      </c>
      <c r="AZ45" s="152">
        <f>AVERAGE(AB45,AN45)</f>
        <v>9850</v>
      </c>
      <c r="BA45" s="166"/>
      <c r="BB45" s="157">
        <f>IF($O45="M-Sa",(AV45*5)+AW45+AX45,IF($O45="m-su",(AV45*5)+AW45+AX45,IF($O45="M-F",(AV45*5),IF($O45="T-Su",(AV45*4)+AW45+AX45,IF($O45="T-Sa",(AV45*4)+AW45,IF($O45="T-F",(AV45*4),IF($O45="Su-F",(AV45*5)+AW45+AX45,(AV45*5+AW45+AX45))))))))</f>
        <v>577382</v>
      </c>
      <c r="BC45" s="157">
        <f>IF($O45="M-Sa",(BB45/6),IF($O45="m-su",(BB45/7),IF($O45="M-F",(BB45/5),IF($O45="T-Su",(BB45/6),IF($O45="T-Sa",(BB45/5),IF($O45="T-F",(BB45/4),IF($O45="Su-F",(BB45/6),(BB45/7))))))))</f>
        <v>82483.142857142855</v>
      </c>
      <c r="BD45" s="167">
        <f>IF($O45="M-Sa",(AY45*5)+AZ45+BA45,IF($O45="m-su",(AY45*5)+AZ45+BA45,IF($O45="M-F",(AY45*5),IF($O45="T-Su",(AY45*4)+AZ45+BA45,IF($O45="T-Sa",(AY45*4)+AZ45,IF($O45="T-F",(AY45*4),IF($O45="Su-F",(AY45*5)+AZ45+BA45,(AY45*5+AZ45+BA45))))))))</f>
        <v>79855</v>
      </c>
      <c r="BF45" s="6"/>
    </row>
    <row r="46" spans="1:61" s="5" customFormat="1">
      <c r="A46" s="159" t="s">
        <v>242</v>
      </c>
      <c r="B46" s="1" t="s">
        <v>14</v>
      </c>
      <c r="C46" s="1" t="s">
        <v>95</v>
      </c>
      <c r="D46" s="36" t="s">
        <v>109</v>
      </c>
      <c r="E46" s="3" t="s">
        <v>111</v>
      </c>
      <c r="F46" s="140">
        <v>413700</v>
      </c>
      <c r="G46" s="1" t="s">
        <v>41</v>
      </c>
      <c r="H46" s="1" t="s">
        <v>26</v>
      </c>
      <c r="I46" s="1">
        <v>6</v>
      </c>
      <c r="J46" s="1">
        <v>175</v>
      </c>
      <c r="K46" s="1">
        <f>I46*J46</f>
        <v>1050</v>
      </c>
      <c r="L46" s="1"/>
      <c r="M46" s="1" t="s">
        <v>577</v>
      </c>
      <c r="N46" s="1" t="s">
        <v>20</v>
      </c>
      <c r="O46" s="3" t="s">
        <v>36</v>
      </c>
      <c r="P46" s="4" t="s">
        <v>243</v>
      </c>
      <c r="Q46" s="2" t="s">
        <v>28</v>
      </c>
      <c r="R46" s="162"/>
      <c r="S46" s="160"/>
      <c r="T46" s="161"/>
      <c r="U46" s="160"/>
      <c r="V46" s="160"/>
      <c r="W46" s="160"/>
      <c r="X46" s="162"/>
      <c r="Y46" s="160"/>
      <c r="Z46" s="161"/>
      <c r="AA46" s="160"/>
      <c r="AB46" s="160"/>
      <c r="AC46" s="160"/>
      <c r="AD46" s="163"/>
      <c r="AE46" s="164"/>
      <c r="AF46" s="165"/>
      <c r="AG46" s="164"/>
      <c r="AH46" s="164"/>
      <c r="AI46" s="164"/>
      <c r="AJ46" s="163"/>
      <c r="AK46" s="164"/>
      <c r="AL46" s="165"/>
      <c r="AM46" s="163"/>
      <c r="AN46" s="164"/>
      <c r="AO46" s="165"/>
      <c r="AP46" s="1"/>
      <c r="AQ46" s="1"/>
      <c r="AR46" s="1"/>
      <c r="AS46" s="151">
        <v>44332</v>
      </c>
      <c r="AT46" s="152"/>
      <c r="AU46" s="166"/>
      <c r="AV46" s="156">
        <f>AP46+AS46</f>
        <v>44332</v>
      </c>
      <c r="AW46" s="156">
        <f>AQ46+AT46</f>
        <v>0</v>
      </c>
      <c r="AX46" s="156"/>
      <c r="AY46" s="36"/>
      <c r="AZ46" s="1"/>
      <c r="BA46" s="37"/>
      <c r="BB46" s="157">
        <f>IF($O46="M-Sa",(AV46*5)+AW46+AX46,IF($O46="m-su",(AV46*5)+AW46+AX46,IF($O46="M-F",(AV46*5),IF($O46="T-Su",(AV46*4)+AW46+AX46,IF($O46="T-Sa",(AV46*4)+AW46,IF($O46="T-F",(AV46*4),IF($O46="Su-F",(AV46*5)+AW46+AX46,(AV46*5+AW46+AX46))))))))</f>
        <v>221660</v>
      </c>
      <c r="BC46" s="157">
        <f>IF($O46="M-Sa",(BB46/6),IF($O46="m-su",(BB46/7),IF($O46="M-F",(BB46/5),IF($O46="T-Su",(BB46/6),IF($O46="T-Sa",(BB46/5),IF($O46="T-F",(BB46/4),IF($O46="Su-F",(BB46/6),(BB46/7))))))))</f>
        <v>44332</v>
      </c>
      <c r="BD46" s="167">
        <f>IF($O46="M-Sa",(AY46*5)+AZ46+BA46,IF($O46="m-su",(AY46*5)+AZ46+BA46,IF($O46="M-F",(AY46*5),IF($O46="T-Su",(AY46*4)+AZ46+BA46,IF($O46="T-Sa",(AY46*4)+AZ46,IF($O46="T-F",(AY46*4),IF($O46="Su-F",(AY46*5)+AZ46+BA46,(AY46*5+AZ46+BA46))))))))</f>
        <v>0</v>
      </c>
      <c r="BE46" s="34"/>
      <c r="BF46" s="3"/>
      <c r="BG46" s="168">
        <v>2008</v>
      </c>
      <c r="BH46" s="42" t="s">
        <v>244</v>
      </c>
    </row>
    <row r="47" spans="1:61" s="16" customFormat="1">
      <c r="A47" s="159" t="s">
        <v>438</v>
      </c>
      <c r="B47" s="1" t="s">
        <v>14</v>
      </c>
      <c r="C47" s="1" t="s">
        <v>95</v>
      </c>
      <c r="D47" s="36" t="s">
        <v>109</v>
      </c>
      <c r="E47" s="3" t="s">
        <v>113</v>
      </c>
      <c r="F47" s="140">
        <v>35809</v>
      </c>
      <c r="G47" s="1" t="s">
        <v>53</v>
      </c>
      <c r="H47" s="1" t="s">
        <v>26</v>
      </c>
      <c r="I47" s="1">
        <v>8</v>
      </c>
      <c r="J47" s="1">
        <v>196</v>
      </c>
      <c r="K47" s="1">
        <f>I47*J47</f>
        <v>1568</v>
      </c>
      <c r="L47" s="84"/>
      <c r="M47" s="84" t="s">
        <v>576</v>
      </c>
      <c r="N47" s="1" t="s">
        <v>35</v>
      </c>
      <c r="O47" s="3" t="s">
        <v>45</v>
      </c>
      <c r="P47" s="4" t="s">
        <v>107</v>
      </c>
      <c r="Q47" s="2" t="s">
        <v>64</v>
      </c>
      <c r="R47" s="144"/>
      <c r="S47" s="142"/>
      <c r="T47" s="143"/>
      <c r="U47" s="142"/>
      <c r="V47" s="142"/>
      <c r="W47" s="142"/>
      <c r="X47" s="144"/>
      <c r="Y47" s="142"/>
      <c r="Z47" s="143"/>
      <c r="AA47" s="142"/>
      <c r="AB47" s="142"/>
      <c r="AC47" s="142"/>
      <c r="AD47" s="148"/>
      <c r="AE47" s="149"/>
      <c r="AF47" s="150"/>
      <c r="AG47" s="149"/>
      <c r="AH47" s="149"/>
      <c r="AI47" s="149"/>
      <c r="AJ47" s="148">
        <f>AD47+AG47</f>
        <v>0</v>
      </c>
      <c r="AK47" s="149">
        <f>AE47+AH47</f>
        <v>0</v>
      </c>
      <c r="AL47" s="150">
        <f>AF47+AI47</f>
        <v>0</v>
      </c>
      <c r="AM47" s="148"/>
      <c r="AN47" s="149"/>
      <c r="AO47" s="150"/>
      <c r="AP47" s="152">
        <v>4617</v>
      </c>
      <c r="AQ47" s="152">
        <v>4617</v>
      </c>
      <c r="AR47" s="152">
        <v>0</v>
      </c>
      <c r="AS47" s="151">
        <v>1139</v>
      </c>
      <c r="AT47" s="152">
        <v>1139</v>
      </c>
      <c r="AU47" s="166">
        <v>0</v>
      </c>
      <c r="AV47" s="156">
        <f>AP47+AS47</f>
        <v>5756</v>
      </c>
      <c r="AW47" s="156">
        <f>AQ47+AT47</f>
        <v>5756</v>
      </c>
      <c r="AX47" s="156">
        <f>AR47+AU47</f>
        <v>0</v>
      </c>
      <c r="AY47" s="151"/>
      <c r="AZ47" s="152"/>
      <c r="BA47" s="166"/>
      <c r="BB47" s="157">
        <f>IF($O47="M-Sa",(AV47*5)+AW47+AX47,IF($O47="m-su",(AV47*5)+AW47+AX47,IF($O47="M-F",(AV47*5),IF($O47="T-Su",(AV47*4)+AW47+AX47,IF($O47="T-Sa",(AV47*4)+AW47,IF($O47="T-F",(AV47*4),IF($O47="Su-F",(AV47*5)+AW47+AX47,(AV47*5+AW47+AX47))))))))</f>
        <v>34536</v>
      </c>
      <c r="BC47" s="157">
        <f>IF($O47="M-Sa",(BB47/6),IF($O47="m-su",(BB47/7),IF($O47="M-F",(BB47/5),IF($O47="T-Su",(BB47/6),IF($O47="T-Sa",(BB47/5),IF($O47="T-F",(BB47/4),IF($O47="Su-F",(BB47/6),(BB47/7))))))))</f>
        <v>5756</v>
      </c>
      <c r="BD47" s="167">
        <f>IF($O47="M-Sa",(AY47*5)+AZ47+BA47,IF($O47="m-su",(AY47*5)+AZ47+BA47,IF($O47="M-F",(AY47*5),IF($O47="T-Su",(AY47*4)+AZ47+BA47,IF($O47="T-Sa",(AY47*4)+AZ47,IF($O47="T-F",(AY47*4),IF($O47="Su-F",(AY47*5)+AZ47+BA47,(AY47*5+AZ47+BA47))))))))</f>
        <v>0</v>
      </c>
      <c r="BE47" s="5"/>
      <c r="BF47" s="6" t="s">
        <v>110</v>
      </c>
      <c r="BG47" s="5"/>
      <c r="BH47" s="5"/>
      <c r="BI47" s="5"/>
    </row>
    <row r="48" spans="1:61" s="8" customFormat="1">
      <c r="A48" s="159" t="s">
        <v>439</v>
      </c>
      <c r="B48" s="1" t="s">
        <v>14</v>
      </c>
      <c r="C48" s="1" t="s">
        <v>95</v>
      </c>
      <c r="D48" s="36" t="s">
        <v>109</v>
      </c>
      <c r="E48" s="3" t="s">
        <v>114</v>
      </c>
      <c r="F48" s="140">
        <v>14135</v>
      </c>
      <c r="G48" s="1" t="s">
        <v>53</v>
      </c>
      <c r="H48" s="1" t="s">
        <v>19</v>
      </c>
      <c r="I48" s="1">
        <v>10</v>
      </c>
      <c r="J48" s="1">
        <v>301</v>
      </c>
      <c r="K48" s="1">
        <f>I48*J48</f>
        <v>3010</v>
      </c>
      <c r="L48" s="84"/>
      <c r="M48" s="84" t="s">
        <v>576</v>
      </c>
      <c r="N48" s="1" t="s">
        <v>20</v>
      </c>
      <c r="O48" s="3" t="s">
        <v>45</v>
      </c>
      <c r="P48" s="4" t="s">
        <v>107</v>
      </c>
      <c r="Q48" s="2" t="s">
        <v>28</v>
      </c>
      <c r="R48" s="144"/>
      <c r="S48" s="142"/>
      <c r="T48" s="143"/>
      <c r="U48" s="142"/>
      <c r="V48" s="142"/>
      <c r="W48" s="142"/>
      <c r="X48" s="144"/>
      <c r="Y48" s="142"/>
      <c r="Z48" s="143"/>
      <c r="AA48" s="142"/>
      <c r="AB48" s="142"/>
      <c r="AC48" s="142"/>
      <c r="AD48" s="148"/>
      <c r="AE48" s="149"/>
      <c r="AF48" s="150"/>
      <c r="AG48" s="149"/>
      <c r="AH48" s="149"/>
      <c r="AI48" s="149"/>
      <c r="AJ48" s="148">
        <f>AD48+AG48</f>
        <v>0</v>
      </c>
      <c r="AK48" s="149">
        <f>AE48+AH48</f>
        <v>0</v>
      </c>
      <c r="AL48" s="150">
        <f>AF48+AI48</f>
        <v>0</v>
      </c>
      <c r="AM48" s="148"/>
      <c r="AN48" s="149"/>
      <c r="AO48" s="150"/>
      <c r="AP48" s="152">
        <v>17890</v>
      </c>
      <c r="AQ48" s="152">
        <v>18617</v>
      </c>
      <c r="AR48" s="152"/>
      <c r="AS48" s="151">
        <v>2241</v>
      </c>
      <c r="AT48" s="152">
        <v>309</v>
      </c>
      <c r="AU48" s="166"/>
      <c r="AV48" s="156">
        <f>AP48+AS48</f>
        <v>20131</v>
      </c>
      <c r="AW48" s="156">
        <f>AQ48+AT48</f>
        <v>18926</v>
      </c>
      <c r="AX48" s="156">
        <f>AR48+AU48</f>
        <v>0</v>
      </c>
      <c r="AY48" s="151">
        <v>344</v>
      </c>
      <c r="AZ48" s="152">
        <v>344</v>
      </c>
      <c r="BA48" s="166"/>
      <c r="BB48" s="157">
        <f>IF($O48="M-Sa",(AV48*5)+AW48+AX48,IF($O48="m-su",(AV48*5)+AW48+AX48,IF($O48="M-F",(AV48*5),IF($O48="T-Su",(AV48*4)+AW48+AX48,IF($O48="T-Sa",(AV48*4)+AW48,IF($O48="T-F",(AV48*4),IF($O48="Su-F",(AV48*5)+AW48+AX48,(AV48*5+AW48+AX48))))))))</f>
        <v>119581</v>
      </c>
      <c r="BC48" s="157">
        <f>IF($O48="M-Sa",(BB48/6),IF($O48="m-su",(BB48/7),IF($O48="M-F",(BB48/5),IF($O48="T-Su",(BB48/6),IF($O48="T-Sa",(BB48/5),IF($O48="T-F",(BB48/4),IF($O48="Su-F",(BB48/6),(BB48/7))))))))</f>
        <v>19930.166666666668</v>
      </c>
      <c r="BD48" s="167">
        <f>IF($O48="M-Sa",(AY48*5)+AZ48+BA48,IF($O48="m-su",(AY48*5)+AZ48+BA48,IF($O48="M-F",(AY48*5),IF($O48="T-Su",(AY48*4)+AZ48+BA48,IF($O48="T-Sa",(AY48*4)+AZ48,IF($O48="T-F",(AY48*4),IF($O48="Su-F",(AY48*5)+AZ48+BA48,(AY48*5+AZ48+BA48))))))))</f>
        <v>2064</v>
      </c>
      <c r="BE48" s="5"/>
      <c r="BF48" s="6"/>
      <c r="BG48" s="5"/>
      <c r="BH48" s="5"/>
      <c r="BI48" s="5"/>
    </row>
    <row r="49" spans="1:61" s="5" customFormat="1">
      <c r="A49" s="159" t="s">
        <v>440</v>
      </c>
      <c r="B49" s="1" t="s">
        <v>14</v>
      </c>
      <c r="C49" s="1" t="s">
        <v>95</v>
      </c>
      <c r="D49" s="36" t="s">
        <v>109</v>
      </c>
      <c r="E49" s="3" t="s">
        <v>115</v>
      </c>
      <c r="F49" s="140">
        <v>45888</v>
      </c>
      <c r="G49" s="1" t="s">
        <v>53</v>
      </c>
      <c r="H49" s="1" t="s">
        <v>26</v>
      </c>
      <c r="I49" s="1">
        <v>8</v>
      </c>
      <c r="J49" s="1">
        <v>196</v>
      </c>
      <c r="K49" s="1">
        <f>I49*J49</f>
        <v>1568</v>
      </c>
      <c r="L49" s="84" t="s">
        <v>339</v>
      </c>
      <c r="M49" s="84" t="s">
        <v>576</v>
      </c>
      <c r="N49" s="1" t="s">
        <v>35</v>
      </c>
      <c r="O49" s="3" t="s">
        <v>45</v>
      </c>
      <c r="P49" s="4" t="s">
        <v>107</v>
      </c>
      <c r="Q49" s="2" t="s">
        <v>64</v>
      </c>
      <c r="R49" s="144"/>
      <c r="S49" s="142"/>
      <c r="T49" s="143"/>
      <c r="U49" s="142"/>
      <c r="V49" s="142"/>
      <c r="W49" s="142"/>
      <c r="X49" s="144"/>
      <c r="Y49" s="142"/>
      <c r="Z49" s="143"/>
      <c r="AA49" s="142"/>
      <c r="AB49" s="142"/>
      <c r="AC49" s="142"/>
      <c r="AD49" s="148"/>
      <c r="AE49" s="149"/>
      <c r="AF49" s="150"/>
      <c r="AG49" s="149"/>
      <c r="AH49" s="149"/>
      <c r="AI49" s="149"/>
      <c r="AJ49" s="148">
        <f>AD49+AG49</f>
        <v>0</v>
      </c>
      <c r="AK49" s="149">
        <f>AE49+AH49</f>
        <v>0</v>
      </c>
      <c r="AL49" s="150">
        <f>AF49+AI49</f>
        <v>0</v>
      </c>
      <c r="AM49" s="148"/>
      <c r="AN49" s="149"/>
      <c r="AO49" s="150"/>
      <c r="AP49" s="152">
        <v>4978</v>
      </c>
      <c r="AQ49" s="152">
        <v>4978</v>
      </c>
      <c r="AR49" s="152">
        <v>0</v>
      </c>
      <c r="AS49" s="151">
        <v>0</v>
      </c>
      <c r="AT49" s="152">
        <v>0</v>
      </c>
      <c r="AU49" s="166">
        <v>0</v>
      </c>
      <c r="AV49" s="156">
        <f>AP49+AS49</f>
        <v>4978</v>
      </c>
      <c r="AW49" s="156">
        <f>AQ49+AT49</f>
        <v>4978</v>
      </c>
      <c r="AX49" s="156">
        <f>AR49+AU49</f>
        <v>0</v>
      </c>
      <c r="AY49" s="151"/>
      <c r="AZ49" s="152"/>
      <c r="BA49" s="166"/>
      <c r="BB49" s="157">
        <f>IF($O49="M-Sa",(AV49*5)+AW49+AX49,IF($O49="m-su",(AV49*5)+AW49+AX49,IF($O49="M-F",(AV49*5),IF($O49="T-Su",(AV49*4)+AW49+AX49,IF($O49="T-Sa",(AV49*4)+AW49,IF($O49="T-F",(AV49*4),IF($O49="Su-F",(AV49*5)+AW49+AX49,(AV49*5+AW49+AX49))))))))</f>
        <v>29868</v>
      </c>
      <c r="BC49" s="157">
        <f>IF($O49="M-Sa",(BB49/6),IF($O49="m-su",(BB49/7),IF($O49="M-F",(BB49/5),IF($O49="T-Su",(BB49/6),IF($O49="T-Sa",(BB49/5),IF($O49="T-F",(BB49/4),IF($O49="Su-F",(BB49/6),(BB49/7))))))))</f>
        <v>4978</v>
      </c>
      <c r="BD49" s="167">
        <f>IF($O49="M-Sa",(AY49*5)+AZ49+BA49,IF($O49="m-su",(AY49*5)+AZ49+BA49,IF($O49="M-F",(AY49*5),IF($O49="T-Su",(AY49*4)+AZ49+BA49,IF($O49="T-Sa",(AY49*4)+AZ49,IF($O49="T-F",(AY49*4),IF($O49="Su-F",(AY49*5)+AZ49+BA49,(AY49*5+AZ49+BA49))))))))</f>
        <v>0</v>
      </c>
      <c r="BF49" s="6" t="s">
        <v>116</v>
      </c>
    </row>
    <row r="50" spans="1:61" s="16" customFormat="1">
      <c r="A50" s="191" t="s">
        <v>551</v>
      </c>
      <c r="B50" s="14" t="s">
        <v>14</v>
      </c>
      <c r="C50" s="14" t="s">
        <v>118</v>
      </c>
      <c r="D50" s="38" t="s">
        <v>119</v>
      </c>
      <c r="E50" s="17" t="s">
        <v>120</v>
      </c>
      <c r="F50" s="192">
        <v>196000</v>
      </c>
      <c r="G50" s="14" t="s">
        <v>41</v>
      </c>
      <c r="H50" s="14" t="s">
        <v>19</v>
      </c>
      <c r="I50" s="14">
        <v>10</v>
      </c>
      <c r="J50" s="14">
        <v>287</v>
      </c>
      <c r="K50" s="14">
        <f>I50*J50</f>
        <v>2870</v>
      </c>
      <c r="L50" s="204"/>
      <c r="M50" s="84" t="s">
        <v>576</v>
      </c>
      <c r="N50" s="14" t="s">
        <v>35</v>
      </c>
      <c r="O50" s="17" t="s">
        <v>45</v>
      </c>
      <c r="P50" s="18" t="s">
        <v>27</v>
      </c>
      <c r="Q50" s="15" t="s">
        <v>28</v>
      </c>
      <c r="R50" s="199"/>
      <c r="S50" s="200"/>
      <c r="T50" s="201"/>
      <c r="U50" s="200"/>
      <c r="V50" s="200"/>
      <c r="W50" s="200"/>
      <c r="X50" s="199"/>
      <c r="Y50" s="200"/>
      <c r="Z50" s="201"/>
      <c r="AA50" s="200"/>
      <c r="AB50" s="200"/>
      <c r="AC50" s="200"/>
      <c r="AD50" s="199"/>
      <c r="AE50" s="200"/>
      <c r="AF50" s="201"/>
      <c r="AG50" s="200"/>
      <c r="AH50" s="200"/>
      <c r="AI50" s="200"/>
      <c r="AJ50" s="199">
        <f>AD50+AG50</f>
        <v>0</v>
      </c>
      <c r="AK50" s="200">
        <f>AE50+AH50</f>
        <v>0</v>
      </c>
      <c r="AL50" s="201">
        <f>AF50+AI50</f>
        <v>0</v>
      </c>
      <c r="AM50" s="199"/>
      <c r="AN50" s="200"/>
      <c r="AO50" s="201"/>
      <c r="AP50" s="200">
        <f>(6050+6041+8054+6065)/4</f>
        <v>6552.5</v>
      </c>
      <c r="AQ50" s="200">
        <v>5974</v>
      </c>
      <c r="AR50" s="200"/>
      <c r="AS50" s="199">
        <v>0</v>
      </c>
      <c r="AT50" s="200">
        <v>0</v>
      </c>
      <c r="AU50" s="201">
        <v>44729</v>
      </c>
      <c r="AV50" s="202">
        <f>AP50+AS50</f>
        <v>6552.5</v>
      </c>
      <c r="AW50" s="202">
        <f>AQ50+AT50</f>
        <v>5974</v>
      </c>
      <c r="AX50" s="202">
        <f>AR50+AU50</f>
        <v>44729</v>
      </c>
      <c r="AY50" s="199"/>
      <c r="AZ50" s="200"/>
      <c r="BA50" s="201"/>
      <c r="BB50" s="211">
        <f>(AV50*5)+AW50+AX50</f>
        <v>83465.5</v>
      </c>
      <c r="BC50" s="211">
        <f>BB50/6</f>
        <v>13910.916666666666</v>
      </c>
      <c r="BD50" s="212">
        <f>IF($O50="M-Sa",(AY50*5)+AZ50+BA50,IF($O50="m-su",(AY50*5)+AZ50+BA50,IF($O50="M-F",(AY50*5),IF($O50="T-Su",(AY50*4)+AZ50+BA50,IF($O50="T-Sa",(AY50*4)+AZ50,IF($O50="T-F",(AY50*4),IF($O50="Su-F",(AY50*5)+AZ50+BA50,(AY50*5+AZ50+BA50))))))))</f>
        <v>0</v>
      </c>
      <c r="BF50" s="19" t="s">
        <v>121</v>
      </c>
    </row>
    <row r="51" spans="1:61" s="5" customFormat="1">
      <c r="A51" s="159" t="s">
        <v>441</v>
      </c>
      <c r="B51" s="1" t="s">
        <v>14</v>
      </c>
      <c r="C51" s="1" t="s">
        <v>118</v>
      </c>
      <c r="D51" s="36" t="s">
        <v>119</v>
      </c>
      <c r="E51" s="3" t="s">
        <v>123</v>
      </c>
      <c r="F51" s="140">
        <v>92540</v>
      </c>
      <c r="G51" s="1" t="s">
        <v>34</v>
      </c>
      <c r="H51" s="1" t="s">
        <v>19</v>
      </c>
      <c r="I51" s="1">
        <v>10</v>
      </c>
      <c r="J51" s="1">
        <v>301</v>
      </c>
      <c r="K51" s="1">
        <f>I51*J51</f>
        <v>3010</v>
      </c>
      <c r="L51" s="84"/>
      <c r="M51" s="84" t="s">
        <v>576</v>
      </c>
      <c r="N51" s="1" t="s">
        <v>35</v>
      </c>
      <c r="O51" s="3" t="s">
        <v>45</v>
      </c>
      <c r="P51" s="4" t="s">
        <v>27</v>
      </c>
      <c r="Q51" s="2" t="s">
        <v>28</v>
      </c>
      <c r="R51" s="144"/>
      <c r="S51" s="142"/>
      <c r="T51" s="143"/>
      <c r="U51" s="142"/>
      <c r="V51" s="142"/>
      <c r="W51" s="142"/>
      <c r="X51" s="144"/>
      <c r="Y51" s="142"/>
      <c r="Z51" s="143"/>
      <c r="AA51" s="142"/>
      <c r="AB51" s="142"/>
      <c r="AC51" s="142"/>
      <c r="AD51" s="148"/>
      <c r="AE51" s="149"/>
      <c r="AF51" s="150"/>
      <c r="AG51" s="149"/>
      <c r="AH51" s="149"/>
      <c r="AI51" s="149"/>
      <c r="AJ51" s="148">
        <f>AD51+AG51</f>
        <v>0</v>
      </c>
      <c r="AK51" s="149">
        <f>AE51+AH51</f>
        <v>0</v>
      </c>
      <c r="AL51" s="150">
        <f>AF51+AI51</f>
        <v>0</v>
      </c>
      <c r="AM51" s="148"/>
      <c r="AN51" s="149"/>
      <c r="AO51" s="150"/>
      <c r="AP51" s="152">
        <v>7631</v>
      </c>
      <c r="AQ51" s="152">
        <v>7824</v>
      </c>
      <c r="AR51" s="152">
        <v>0</v>
      </c>
      <c r="AS51" s="151">
        <v>320</v>
      </c>
      <c r="AT51" s="152">
        <v>311</v>
      </c>
      <c r="AU51" s="166">
        <v>0</v>
      </c>
      <c r="AV51" s="156">
        <f>AP51+AS51</f>
        <v>7951</v>
      </c>
      <c r="AW51" s="156">
        <f>AQ51+AT51</f>
        <v>8135</v>
      </c>
      <c r="AX51" s="156">
        <f>AR51+AU51</f>
        <v>0</v>
      </c>
      <c r="AY51" s="151">
        <f>170+120+104</f>
        <v>394</v>
      </c>
      <c r="AZ51" s="152">
        <f>181+126+108</f>
        <v>415</v>
      </c>
      <c r="BA51" s="166"/>
      <c r="BB51" s="157">
        <f>IF($O51="M-Sa",(AV51*5)+AW51+AX51,IF($O51="m-su",(AV51*5)+AW51+AX51,IF($O51="M-F",(AV51*5),IF($O51="T-Su",(AV51*4)+AW51+AX51,IF($O51="T-Sa",(AV51*4)+AW51,IF($O51="T-F",(AV51*4),IF($O51="Su-F",(AV51*5)+AW51+AX51,(AV51*5+AW51+AX51))))))))</f>
        <v>47890</v>
      </c>
      <c r="BC51" s="157">
        <f>IF($O51="M-Sa",(BB51/6),IF($O51="m-su",(BB51/7),IF($O51="M-F",(BB51/5),IF($O51="T-Su",(BB51/6),IF($O51="T-Sa",(BB51/5),IF($O51="T-F",(BB51/4),IF($O51="Su-F",(BB51/6),(BB51/7))))))))</f>
        <v>7981.666666666667</v>
      </c>
      <c r="BD51" s="167">
        <f>IF($O51="M-Sa",(AY51*5)+AZ51+BA51,IF($O51="m-su",(AY51*5)+AZ51+BA51,IF($O51="M-F",(AY51*5),IF($O51="T-Su",(AY51*4)+AZ51+BA51,IF($O51="T-Sa",(AY51*4)+AZ51,IF($O51="T-F",(AY51*4),IF($O51="Su-F",(AY51*5)+AZ51+BA51,(AY51*5+AZ51+BA51))))))))</f>
        <v>2385</v>
      </c>
      <c r="BE51" s="20" t="s">
        <v>55</v>
      </c>
      <c r="BF51" s="21" t="s">
        <v>55</v>
      </c>
      <c r="BG51" s="20"/>
      <c r="BH51" s="20" t="s">
        <v>55</v>
      </c>
    </row>
    <row r="52" spans="1:61" s="8" customFormat="1">
      <c r="A52" s="159" t="s">
        <v>442</v>
      </c>
      <c r="B52" s="1" t="s">
        <v>14</v>
      </c>
      <c r="C52" s="1" t="s">
        <v>118</v>
      </c>
      <c r="D52" s="36" t="s">
        <v>119</v>
      </c>
      <c r="E52" s="3" t="s">
        <v>125</v>
      </c>
      <c r="F52" s="140">
        <v>140500</v>
      </c>
      <c r="G52" s="1" t="s">
        <v>41</v>
      </c>
      <c r="H52" s="1" t="s">
        <v>19</v>
      </c>
      <c r="I52" s="1">
        <v>10</v>
      </c>
      <c r="J52" s="1">
        <v>302</v>
      </c>
      <c r="K52" s="1">
        <f>I52*J52</f>
        <v>3020</v>
      </c>
      <c r="L52" s="84"/>
      <c r="M52" s="84" t="s">
        <v>576</v>
      </c>
      <c r="N52" s="1" t="s">
        <v>20</v>
      </c>
      <c r="O52" s="3" t="s">
        <v>45</v>
      </c>
      <c r="P52" s="4" t="s">
        <v>27</v>
      </c>
      <c r="Q52" s="2" t="s">
        <v>28</v>
      </c>
      <c r="R52" s="144"/>
      <c r="S52" s="142"/>
      <c r="T52" s="143"/>
      <c r="U52" s="142"/>
      <c r="V52" s="142"/>
      <c r="W52" s="142"/>
      <c r="X52" s="144"/>
      <c r="Y52" s="142"/>
      <c r="Z52" s="143"/>
      <c r="AA52" s="142"/>
      <c r="AB52" s="142"/>
      <c r="AC52" s="142"/>
      <c r="AD52" s="148"/>
      <c r="AE52" s="149"/>
      <c r="AF52" s="150"/>
      <c r="AG52" s="149"/>
      <c r="AH52" s="149"/>
      <c r="AI52" s="149"/>
      <c r="AJ52" s="148">
        <f>AD52+AG52</f>
        <v>0</v>
      </c>
      <c r="AK52" s="149">
        <f>AE52+AH52</f>
        <v>0</v>
      </c>
      <c r="AL52" s="150">
        <f>AF52+AI52</f>
        <v>0</v>
      </c>
      <c r="AM52" s="148"/>
      <c r="AN52" s="149"/>
      <c r="AO52" s="150"/>
      <c r="AP52" s="152">
        <v>13677</v>
      </c>
      <c r="AQ52" s="152">
        <v>14222</v>
      </c>
      <c r="AR52" s="152"/>
      <c r="AS52" s="151">
        <v>8391</v>
      </c>
      <c r="AT52" s="152">
        <v>578</v>
      </c>
      <c r="AU52" s="166"/>
      <c r="AV52" s="156">
        <f>AP52+AS52</f>
        <v>22068</v>
      </c>
      <c r="AW52" s="156">
        <f>AQ52+AT52</f>
        <v>14800</v>
      </c>
      <c r="AX52" s="156">
        <f>AR52+AU52</f>
        <v>0</v>
      </c>
      <c r="AY52" s="151">
        <f>255+174+70</f>
        <v>499</v>
      </c>
      <c r="AZ52" s="152">
        <f>265+181+59</f>
        <v>505</v>
      </c>
      <c r="BA52" s="166"/>
      <c r="BB52" s="157">
        <f>IF($O52="M-Sa",(AV52*5)+AW52+AX52,IF($O52="m-su",(AV52*5)+AW52+AX52,IF($O52="M-F",(AV52*5),IF($O52="T-Su",(AV52*4)+AW52+AX52,IF($O52="T-Sa",(AV52*4)+AW52,IF($O52="T-F",(AV52*4),IF($O52="Su-F",(AV52*5)+AW52+AX52,(AV52*5+AW52+AX52))))))))</f>
        <v>125140</v>
      </c>
      <c r="BC52" s="157">
        <f>IF($O52="M-Sa",(BB52/6),IF($O52="m-su",(BB52/7),IF($O52="M-F",(BB52/5),IF($O52="T-Su",(BB52/6),IF($O52="T-Sa",(BB52/5),IF($O52="T-F",(BB52/4),IF($O52="Su-F",(BB52/6),(BB52/7))))))))</f>
        <v>20856.666666666668</v>
      </c>
      <c r="BD52" s="167">
        <f>IF($O52="M-Sa",(AY52*5)+AZ52+BA52,IF($O52="m-su",(AY52*5)+AZ52+BA52,IF($O52="M-F",(AY52*5),IF($O52="T-Su",(AY52*4)+AZ52+BA52,IF($O52="T-Sa",(AY52*4)+AZ52,IF($O52="T-F",(AY52*4),IF($O52="Su-F",(AY52*5)+AZ52+BA52,(AY52*5+AZ52+BA52))))))))</f>
        <v>3000</v>
      </c>
      <c r="BE52" s="5"/>
      <c r="BF52" s="6"/>
      <c r="BG52" s="5"/>
      <c r="BH52" s="5"/>
      <c r="BI52" s="5"/>
    </row>
    <row r="53" spans="1:61" s="16" customFormat="1">
      <c r="A53" s="191" t="s">
        <v>443</v>
      </c>
      <c r="B53" s="14" t="s">
        <v>14</v>
      </c>
      <c r="C53" s="14" t="s">
        <v>118</v>
      </c>
      <c r="D53" s="38" t="s">
        <v>119</v>
      </c>
      <c r="E53" s="17" t="s">
        <v>126</v>
      </c>
      <c r="F53" s="192">
        <v>39027</v>
      </c>
      <c r="G53" s="14" t="s">
        <v>53</v>
      </c>
      <c r="H53" s="14" t="s">
        <v>19</v>
      </c>
      <c r="I53" s="14">
        <v>10</v>
      </c>
      <c r="J53" s="14">
        <v>300</v>
      </c>
      <c r="K53" s="14">
        <f>I53*J53</f>
        <v>3000</v>
      </c>
      <c r="L53" s="204"/>
      <c r="M53" s="84" t="s">
        <v>576</v>
      </c>
      <c r="N53" s="14" t="s">
        <v>35</v>
      </c>
      <c r="O53" s="17" t="s">
        <v>127</v>
      </c>
      <c r="P53" s="18" t="s">
        <v>27</v>
      </c>
      <c r="Q53" s="15" t="s">
        <v>64</v>
      </c>
      <c r="R53" s="199"/>
      <c r="S53" s="200"/>
      <c r="T53" s="201"/>
      <c r="U53" s="200"/>
      <c r="V53" s="200"/>
      <c r="W53" s="200"/>
      <c r="X53" s="199"/>
      <c r="Y53" s="200"/>
      <c r="Z53" s="201"/>
      <c r="AA53" s="200"/>
      <c r="AB53" s="200"/>
      <c r="AC53" s="200"/>
      <c r="AD53" s="199"/>
      <c r="AE53" s="200"/>
      <c r="AF53" s="201"/>
      <c r="AG53" s="200"/>
      <c r="AH53" s="200"/>
      <c r="AI53" s="200"/>
      <c r="AJ53" s="199">
        <f>AD53+AG53</f>
        <v>0</v>
      </c>
      <c r="AK53" s="200">
        <f>AE53+AH53</f>
        <v>0</v>
      </c>
      <c r="AL53" s="201">
        <f>AF53+AI53</f>
        <v>0</v>
      </c>
      <c r="AM53" s="199"/>
      <c r="AN53" s="200"/>
      <c r="AO53" s="201"/>
      <c r="AP53" s="200">
        <v>9615</v>
      </c>
      <c r="AQ53" s="200">
        <v>9615</v>
      </c>
      <c r="AR53" s="200"/>
      <c r="AS53" s="199"/>
      <c r="AT53" s="200"/>
      <c r="AU53" s="201"/>
      <c r="AV53" s="202">
        <f>AP53+AS53</f>
        <v>9615</v>
      </c>
      <c r="AW53" s="202">
        <f>AQ53+AT53</f>
        <v>9615</v>
      </c>
      <c r="AX53" s="202">
        <f>AR53+AU53</f>
        <v>0</v>
      </c>
      <c r="AY53" s="199"/>
      <c r="AZ53" s="200"/>
      <c r="BA53" s="201"/>
      <c r="BB53" s="211">
        <f>IF($O53="M-Sa",(AV53*5)+AW53+AX53,IF($O53="m-su",(AV53*5)+AW53+AX53,IF($O53="M-F",(AV53*5),IF($O53="T-Su",(AV53*4)+AW53+AX53,IF($O53="T-Sa",(AV53*4)+AW53,IF($O53="T-F",(AV53*4),IF($O53="Su-F",(AV53*5)+AW53+AX53,(AV53*5+AW53+AX53))))))))</f>
        <v>48075</v>
      </c>
      <c r="BC53" s="211">
        <f>IF($O53="M-Sa",(BB53/6),IF($O53="m-su",(BB53/7),IF($O53="M-F",(BB53/5),IF($O53="T-Su",(BB53/6),IF($O53="T-Sa",(BB53/5),IF($O53="T-F",(BB53/4),IF($O53="Su-F",(BB53/6),(BB53/7))))))))</f>
        <v>9615</v>
      </c>
      <c r="BD53" s="212">
        <f>IF($O53="M-Sa",(AY53*5)+AZ53+BA53,IF($O53="m-su",(AY53*5)+AZ53+BA53,IF($O53="M-F",(AY53*5),IF($O53="T-Su",(AY53*4)+AZ53+BA53,IF($O53="T-Sa",(AY53*4)+AZ53,IF($O53="T-F",(AY53*4),IF($O53="Su-F",(AY53*5)+AZ53+BA53,(AY53*5+AZ53+BA53))))))))</f>
        <v>0</v>
      </c>
      <c r="BF53" s="19" t="s">
        <v>121</v>
      </c>
    </row>
    <row r="54" spans="1:61" s="8" customFormat="1">
      <c r="A54" s="159" t="s">
        <v>128</v>
      </c>
      <c r="B54" s="1" t="s">
        <v>14</v>
      </c>
      <c r="C54" s="1" t="s">
        <v>118</v>
      </c>
      <c r="D54" s="36" t="s">
        <v>119</v>
      </c>
      <c r="E54" s="3" t="s">
        <v>129</v>
      </c>
      <c r="F54" s="140">
        <v>104075</v>
      </c>
      <c r="G54" s="1" t="s">
        <v>41</v>
      </c>
      <c r="H54" s="1" t="s">
        <v>19</v>
      </c>
      <c r="I54" s="1">
        <v>10</v>
      </c>
      <c r="J54" s="1">
        <v>301</v>
      </c>
      <c r="K54" s="1">
        <f>I54*J54</f>
        <v>3010</v>
      </c>
      <c r="L54" s="84"/>
      <c r="M54" s="84" t="s">
        <v>576</v>
      </c>
      <c r="N54" s="1" t="s">
        <v>35</v>
      </c>
      <c r="O54" s="3" t="s">
        <v>45</v>
      </c>
      <c r="P54" s="4" t="s">
        <v>27</v>
      </c>
      <c r="Q54" s="2" t="s">
        <v>28</v>
      </c>
      <c r="R54" s="144"/>
      <c r="S54" s="142"/>
      <c r="T54" s="143"/>
      <c r="U54" s="142"/>
      <c r="V54" s="142"/>
      <c r="W54" s="142"/>
      <c r="X54" s="144"/>
      <c r="Y54" s="142"/>
      <c r="Z54" s="143"/>
      <c r="AA54" s="142"/>
      <c r="AB54" s="142"/>
      <c r="AC54" s="142"/>
      <c r="AD54" s="148"/>
      <c r="AE54" s="149"/>
      <c r="AF54" s="150"/>
      <c r="AG54" s="149"/>
      <c r="AH54" s="149"/>
      <c r="AI54" s="149"/>
      <c r="AJ54" s="148">
        <f>AD54+AG54</f>
        <v>0</v>
      </c>
      <c r="AK54" s="149">
        <f>AE54+AH54</f>
        <v>0</v>
      </c>
      <c r="AL54" s="150">
        <f>AF54+AI54</f>
        <v>0</v>
      </c>
      <c r="AM54" s="148"/>
      <c r="AN54" s="149"/>
      <c r="AO54" s="150"/>
      <c r="AP54" s="152">
        <v>6109</v>
      </c>
      <c r="AQ54" s="152">
        <v>6190</v>
      </c>
      <c r="AR54" s="152"/>
      <c r="AS54" s="151">
        <v>159</v>
      </c>
      <c r="AT54" s="152">
        <v>150</v>
      </c>
      <c r="AU54" s="166"/>
      <c r="AV54" s="156">
        <f>AP54+AS54</f>
        <v>6268</v>
      </c>
      <c r="AW54" s="156">
        <f>AQ54+AT54</f>
        <v>6340</v>
      </c>
      <c r="AX54" s="156">
        <f>AR54+AU54</f>
        <v>0</v>
      </c>
      <c r="AY54" s="151">
        <f>190+54</f>
        <v>244</v>
      </c>
      <c r="AZ54" s="152">
        <f>208+59</f>
        <v>267</v>
      </c>
      <c r="BA54" s="166"/>
      <c r="BB54" s="157">
        <f>IF($O54="M-Sa",(AV54*5)+AW54+AX54,IF($O54="m-su",(AV54*5)+AW54+AX54,IF($O54="M-F",(AV54*5),IF($O54="T-Su",(AV54*4)+AW54+AX54,IF($O54="T-Sa",(AV54*4)+AW54,IF($O54="T-F",(AV54*4),IF($O54="Su-F",(AV54*5)+AW54+AX54,(AV54*5+AW54+AX54))))))))</f>
        <v>37680</v>
      </c>
      <c r="BC54" s="157">
        <f>IF($O54="M-Sa",(BB54/6),IF($O54="m-su",(BB54/7),IF($O54="M-F",(BB54/5),IF($O54="T-Su",(BB54/6),IF($O54="T-Sa",(BB54/5),IF($O54="T-F",(BB54/4),IF($O54="Su-F",(BB54/6),(BB54/7))))))))</f>
        <v>6280</v>
      </c>
      <c r="BD54" s="167">
        <f>IF($O54="M-Sa",(AY54*5)+AZ54+BA54,IF($O54="m-su",(AY54*5)+AZ54+BA54,IF($O54="M-F",(AY54*5),IF($O54="T-Su",(AY54*4)+AZ54+BA54,IF($O54="T-Sa",(AY54*4)+AZ54,IF($O54="T-F",(AY54*4),IF($O54="Su-F",(AY54*5)+AZ54+BA54,(AY54*5+AZ54+BA54))))))))</f>
        <v>1487</v>
      </c>
      <c r="BE54" s="5"/>
      <c r="BF54" s="6"/>
      <c r="BG54" s="5"/>
      <c r="BH54" s="5"/>
      <c r="BI54" s="5"/>
    </row>
    <row r="55" spans="1:61" s="16" customFormat="1">
      <c r="A55" s="191" t="s">
        <v>552</v>
      </c>
      <c r="B55" s="14" t="s">
        <v>14</v>
      </c>
      <c r="C55" s="14" t="s">
        <v>118</v>
      </c>
      <c r="D55" s="38" t="s">
        <v>119</v>
      </c>
      <c r="E55" s="17" t="s">
        <v>130</v>
      </c>
      <c r="F55" s="192">
        <v>18519</v>
      </c>
      <c r="G55" s="14" t="s">
        <v>53</v>
      </c>
      <c r="H55" s="14" t="s">
        <v>19</v>
      </c>
      <c r="I55" s="14">
        <v>10</v>
      </c>
      <c r="J55" s="14">
        <v>301</v>
      </c>
      <c r="K55" s="14">
        <f>I55*J55</f>
        <v>3010</v>
      </c>
      <c r="L55" s="204"/>
      <c r="M55" s="84" t="s">
        <v>576</v>
      </c>
      <c r="N55" s="14"/>
      <c r="O55" s="17" t="s">
        <v>36</v>
      </c>
      <c r="P55" s="18" t="s">
        <v>27</v>
      </c>
      <c r="Q55" s="15" t="s">
        <v>64</v>
      </c>
      <c r="R55" s="207"/>
      <c r="S55" s="205"/>
      <c r="T55" s="206"/>
      <c r="U55" s="205"/>
      <c r="V55" s="205"/>
      <c r="W55" s="205"/>
      <c r="X55" s="207"/>
      <c r="Y55" s="205"/>
      <c r="Z55" s="206"/>
      <c r="AA55" s="205"/>
      <c r="AB55" s="205"/>
      <c r="AC55" s="205"/>
      <c r="AD55" s="208"/>
      <c r="AE55" s="209"/>
      <c r="AF55" s="210"/>
      <c r="AG55" s="209"/>
      <c r="AH55" s="209"/>
      <c r="AI55" s="209"/>
      <c r="AJ55" s="208">
        <f>AD55+AG55</f>
        <v>0</v>
      </c>
      <c r="AK55" s="209">
        <f>AE55+AH55</f>
        <v>0</v>
      </c>
      <c r="AL55" s="210">
        <f>AF55+AI55</f>
        <v>0</v>
      </c>
      <c r="AM55" s="208"/>
      <c r="AN55" s="209"/>
      <c r="AO55" s="210"/>
      <c r="AP55" s="200">
        <v>3314</v>
      </c>
      <c r="AQ55" s="200">
        <v>0</v>
      </c>
      <c r="AR55" s="200">
        <v>0</v>
      </c>
      <c r="AS55" s="199"/>
      <c r="AT55" s="200">
        <v>0</v>
      </c>
      <c r="AU55" s="201">
        <v>17711</v>
      </c>
      <c r="AV55" s="202">
        <f>AP55+AS55</f>
        <v>3314</v>
      </c>
      <c r="AW55" s="202">
        <f>AQ55+AT55</f>
        <v>0</v>
      </c>
      <c r="AX55" s="202">
        <f>AR55+AU55</f>
        <v>17711</v>
      </c>
      <c r="AY55" s="199">
        <v>24</v>
      </c>
      <c r="AZ55" s="200"/>
      <c r="BA55" s="201"/>
      <c r="BB55" s="211">
        <f>(AV55*5)+AX55</f>
        <v>34281</v>
      </c>
      <c r="BC55" s="211">
        <f>BB55/5</f>
        <v>6856.2</v>
      </c>
      <c r="BD55" s="212">
        <f>IF($O55="M-Sa",(AY55*5)+AZ55+BA55,IF($O55="m-su",(AY55*5)+AZ55+BA55,IF($O55="M-F",(AY55*5),IF($O55="T-Su",(AY55*4)+AZ55+BA55,IF($O55="T-Sa",(AY55*4)+AZ55,IF($O55="T-F",(AY55*4),IF($O55="Su-F",(AY55*5)+AZ55+BA55,(AY55*5+AZ55+BA55))))))))</f>
        <v>120</v>
      </c>
      <c r="BF55" s="19" t="s">
        <v>110</v>
      </c>
    </row>
    <row r="56" spans="1:61" s="5" customFormat="1">
      <c r="A56" s="159" t="s">
        <v>444</v>
      </c>
      <c r="B56" s="1" t="s">
        <v>14</v>
      </c>
      <c r="C56" s="1" t="s">
        <v>118</v>
      </c>
      <c r="D56" s="36" t="s">
        <v>119</v>
      </c>
      <c r="E56" s="3" t="s">
        <v>131</v>
      </c>
      <c r="F56" s="140">
        <v>58957</v>
      </c>
      <c r="G56" s="1" t="s">
        <v>34</v>
      </c>
      <c r="H56" s="1" t="s">
        <v>19</v>
      </c>
      <c r="I56" s="1">
        <v>10</v>
      </c>
      <c r="J56" s="1">
        <v>287</v>
      </c>
      <c r="K56" s="1">
        <f>I56*J56</f>
        <v>2870</v>
      </c>
      <c r="L56" s="84"/>
      <c r="M56" s="84" t="s">
        <v>576</v>
      </c>
      <c r="N56" s="1" t="s">
        <v>20</v>
      </c>
      <c r="O56" s="3" t="s">
        <v>45</v>
      </c>
      <c r="P56" s="4" t="s">
        <v>27</v>
      </c>
      <c r="Q56" s="2" t="s">
        <v>28</v>
      </c>
      <c r="R56" s="144"/>
      <c r="S56" s="142"/>
      <c r="T56" s="143"/>
      <c r="U56" s="142"/>
      <c r="V56" s="142"/>
      <c r="W56" s="142"/>
      <c r="X56" s="144"/>
      <c r="Y56" s="142"/>
      <c r="Z56" s="143"/>
      <c r="AA56" s="142"/>
      <c r="AB56" s="142"/>
      <c r="AC56" s="142"/>
      <c r="AD56" s="148"/>
      <c r="AE56" s="149"/>
      <c r="AF56" s="150"/>
      <c r="AG56" s="149"/>
      <c r="AH56" s="149"/>
      <c r="AI56" s="149"/>
      <c r="AJ56" s="148">
        <f>AD56+AG56</f>
        <v>0</v>
      </c>
      <c r="AK56" s="149">
        <f>AE56+AH56</f>
        <v>0</v>
      </c>
      <c r="AL56" s="150">
        <f>AF56+AI56</f>
        <v>0</v>
      </c>
      <c r="AM56" s="148"/>
      <c r="AN56" s="149"/>
      <c r="AO56" s="150"/>
      <c r="AP56" s="152">
        <v>8474</v>
      </c>
      <c r="AQ56" s="152">
        <v>8674</v>
      </c>
      <c r="AR56" s="152"/>
      <c r="AS56" s="151">
        <v>4942</v>
      </c>
      <c r="AT56" s="152">
        <v>1646</v>
      </c>
      <c r="AU56" s="166"/>
      <c r="AV56" s="156">
        <f>AP56+AS56</f>
        <v>13416</v>
      </c>
      <c r="AW56" s="156">
        <f>AQ56+AT56</f>
        <v>10320</v>
      </c>
      <c r="AX56" s="156">
        <f>AR56+AU56</f>
        <v>0</v>
      </c>
      <c r="AY56" s="151">
        <f>318+6+23</f>
        <v>347</v>
      </c>
      <c r="AZ56" s="152">
        <f>332+90+19</f>
        <v>441</v>
      </c>
      <c r="BA56" s="166"/>
      <c r="BB56" s="157">
        <f>IF($O56="M-Sa",(AV56*5)+AW56+AX56,IF($O56="m-su",(AV56*5)+AW56+AX56,IF($O56="M-F",(AV56*5),IF($O56="T-Su",(AV56*4)+AW56+AX56,IF($O56="T-Sa",(AV56*4)+AW56,IF($O56="T-F",(AV56*4),IF($O56="Su-F",(AV56*5)+AW56+AX56,(AV56*5+AW56+AX56))))))))</f>
        <v>77400</v>
      </c>
      <c r="BC56" s="157">
        <f>IF($O56="M-Sa",(BB56/6),IF($O56="m-su",(BB56/7),IF($O56="M-F",(BB56/5),IF($O56="T-Su",(BB56/6),IF($O56="T-Sa",(BB56/5),IF($O56="T-F",(BB56/4),IF($O56="Su-F",(BB56/6),(BB56/7))))))))</f>
        <v>12900</v>
      </c>
      <c r="BD56" s="167">
        <f>IF($O56="M-Sa",(AY56*5)+AZ56+BA56,IF($O56="m-su",(AY56*5)+AZ56+BA56,IF($O56="M-F",(AY56*5),IF($O56="T-Su",(AY56*4)+AZ56+BA56,IF($O56="T-Sa",(AY56*4)+AZ56,IF($O56="T-F",(AY56*4),IF($O56="Su-F",(AY56*5)+AZ56+BA56,(AY56*5+AZ56+BA56))))))))</f>
        <v>2176</v>
      </c>
      <c r="BF56" s="6"/>
      <c r="BI56" s="7"/>
    </row>
    <row r="57" spans="1:61" s="16" customFormat="1">
      <c r="A57" s="191" t="s">
        <v>132</v>
      </c>
      <c r="B57" s="14" t="s">
        <v>14</v>
      </c>
      <c r="C57" s="14" t="s">
        <v>118</v>
      </c>
      <c r="D57" s="38" t="s">
        <v>119</v>
      </c>
      <c r="E57" s="17" t="s">
        <v>133</v>
      </c>
      <c r="F57" s="192">
        <v>7834</v>
      </c>
      <c r="G57" s="14" t="s">
        <v>53</v>
      </c>
      <c r="H57" s="14" t="s">
        <v>26</v>
      </c>
      <c r="I57" s="14">
        <v>5</v>
      </c>
      <c r="J57" s="14">
        <v>210</v>
      </c>
      <c r="K57" s="14">
        <f>I57*J57</f>
        <v>1050</v>
      </c>
      <c r="L57" s="204"/>
      <c r="M57" s="84" t="s">
        <v>576</v>
      </c>
      <c r="N57" s="14"/>
      <c r="O57" s="17" t="s">
        <v>36</v>
      </c>
      <c r="P57" s="18" t="s">
        <v>98</v>
      </c>
      <c r="Q57" s="15" t="s">
        <v>353</v>
      </c>
      <c r="R57" s="207"/>
      <c r="S57" s="205"/>
      <c r="T57" s="206"/>
      <c r="U57" s="205"/>
      <c r="V57" s="205"/>
      <c r="W57" s="205"/>
      <c r="X57" s="207"/>
      <c r="Y57" s="205"/>
      <c r="Z57" s="206"/>
      <c r="AA57" s="205"/>
      <c r="AB57" s="205"/>
      <c r="AC57" s="205"/>
      <c r="AD57" s="208"/>
      <c r="AE57" s="209"/>
      <c r="AF57" s="210"/>
      <c r="AG57" s="209"/>
      <c r="AH57" s="209"/>
      <c r="AI57" s="209"/>
      <c r="AJ57" s="148">
        <f>AD57+AG57</f>
        <v>0</v>
      </c>
      <c r="AK57" s="149">
        <f>AE57+AH57</f>
        <v>0</v>
      </c>
      <c r="AL57" s="150">
        <f>AF57+AI57</f>
        <v>0</v>
      </c>
      <c r="AM57" s="208"/>
      <c r="AN57" s="209"/>
      <c r="AO57" s="210"/>
      <c r="AP57" s="200">
        <f>((1900*3)+4597)/4</f>
        <v>2574.25</v>
      </c>
      <c r="AQ57" s="200">
        <v>0</v>
      </c>
      <c r="AR57" s="200">
        <v>0</v>
      </c>
      <c r="AS57" s="199"/>
      <c r="AT57" s="200"/>
      <c r="AU57" s="201"/>
      <c r="AV57" s="156">
        <f>AP57+AS57</f>
        <v>2574.25</v>
      </c>
      <c r="AW57" s="156">
        <f>AQ57+AT57</f>
        <v>0</v>
      </c>
      <c r="AX57" s="156">
        <f>AR57+AU57</f>
        <v>0</v>
      </c>
      <c r="AY57" s="199"/>
      <c r="AZ57" s="200"/>
      <c r="BA57" s="201"/>
      <c r="BB57" s="157">
        <f>IF($O57="M-Sa",(AV57*5)+AW57+AX57,IF($O57="m-su",(AV57*5)+AW57+AX57,IF($O57="M-F",(AV57*5),IF($O57="T-Su",(AV57*4)+AW57+AX57,IF($O57="T-Sa",(AV57*4)+AW57,IF($O57="T-F",(AV57*4),IF($O57="Su-F",(AV57*5)+AW57+AX57,(AV57*5+AW57+AX57))))))))</f>
        <v>12871.25</v>
      </c>
      <c r="BC57" s="157">
        <f>IF($O57="M-Sa",(BB57/6),IF($O57="m-su",(BB57/7),IF($O57="M-F",(BB57/5),IF($O57="T-Su",(BB57/6),IF($O57="T-Sa",(BB57/5),IF($O57="T-F",(BB57/4),IF($O57="Su-F",(BB57/6),(BB57/7))))))))</f>
        <v>2574.25</v>
      </c>
      <c r="BD57" s="167">
        <f>IF($O57="M-Sa",(AY57*5)+AZ57+BA57,IF($O57="m-su",(AY57*5)+AZ57+BA57,IF($O57="M-F",(AY57*5),IF($O57="T-Su",(AY57*4)+AZ57+BA57,IF($O57="T-Sa",(AY57*4)+AZ57,IF($O57="T-F",(AY57*4),IF($O57="Su-F",(AY57*5)+AZ57+BA57,(AY57*5+AZ57+BA57))))))))</f>
        <v>0</v>
      </c>
      <c r="BF57" s="19"/>
      <c r="BI57" s="22"/>
    </row>
    <row r="58" spans="1:61" s="5" customFormat="1">
      <c r="A58" s="159" t="s">
        <v>134</v>
      </c>
      <c r="B58" s="1" t="s">
        <v>14</v>
      </c>
      <c r="C58" s="1" t="s">
        <v>118</v>
      </c>
      <c r="D58" s="36" t="s">
        <v>119</v>
      </c>
      <c r="E58" s="3" t="s">
        <v>135</v>
      </c>
      <c r="F58" s="140">
        <v>142900</v>
      </c>
      <c r="G58" s="1" t="s">
        <v>41</v>
      </c>
      <c r="H58" s="1" t="s">
        <v>19</v>
      </c>
      <c r="I58" s="1">
        <v>10</v>
      </c>
      <c r="J58" s="1">
        <v>296</v>
      </c>
      <c r="K58" s="1">
        <f>I58*J58</f>
        <v>2960</v>
      </c>
      <c r="L58" s="84"/>
      <c r="M58" s="84" t="s">
        <v>576</v>
      </c>
      <c r="N58" s="1" t="s">
        <v>35</v>
      </c>
      <c r="O58" s="3" t="s">
        <v>45</v>
      </c>
      <c r="P58" s="4" t="s">
        <v>136</v>
      </c>
      <c r="Q58" s="2" t="s">
        <v>28</v>
      </c>
      <c r="R58" s="144"/>
      <c r="S58" s="142"/>
      <c r="T58" s="143"/>
      <c r="U58" s="142"/>
      <c r="V58" s="142"/>
      <c r="W58" s="142"/>
      <c r="X58" s="144"/>
      <c r="Y58" s="142"/>
      <c r="Z58" s="143"/>
      <c r="AA58" s="142"/>
      <c r="AB58" s="142"/>
      <c r="AC58" s="142"/>
      <c r="AD58" s="148"/>
      <c r="AE58" s="149"/>
      <c r="AF58" s="150"/>
      <c r="AG58" s="149"/>
      <c r="AH58" s="149"/>
      <c r="AI58" s="149"/>
      <c r="AJ58" s="148">
        <f>AD58+AG58</f>
        <v>0</v>
      </c>
      <c r="AK58" s="149">
        <f>AE58+AH58</f>
        <v>0</v>
      </c>
      <c r="AL58" s="150">
        <f>AF58+AI58</f>
        <v>0</v>
      </c>
      <c r="AM58" s="148"/>
      <c r="AN58" s="149"/>
      <c r="AO58" s="150"/>
      <c r="AP58" s="152">
        <v>10059</v>
      </c>
      <c r="AQ58" s="152">
        <v>10735</v>
      </c>
      <c r="AR58" s="152"/>
      <c r="AS58" s="151">
        <v>2377</v>
      </c>
      <c r="AT58" s="152">
        <v>1579</v>
      </c>
      <c r="AU58" s="166"/>
      <c r="AV58" s="156">
        <f>AP58+AS58</f>
        <v>12436</v>
      </c>
      <c r="AW58" s="156">
        <f>AQ58+AT58</f>
        <v>12314</v>
      </c>
      <c r="AX58" s="156">
        <f>AR58+AU58</f>
        <v>0</v>
      </c>
      <c r="AY58" s="151">
        <f>375+1154</f>
        <v>1529</v>
      </c>
      <c r="AZ58" s="152">
        <f>69+962</f>
        <v>1031</v>
      </c>
      <c r="BA58" s="166"/>
      <c r="BB58" s="157">
        <f>IF($O58="M-Sa",(AV58*5)+AW58+AX58,IF($O58="m-su",(AV58*5)+AW58+AX58,IF($O58="M-F",(AV58*5),IF($O58="T-Su",(AV58*4)+AW58+AX58,IF($O58="T-Sa",(AV58*4)+AW58,IF($O58="T-F",(AV58*4),IF($O58="Su-F",(AV58*5)+AW58+AX58,(AV58*5+AW58+AX58))))))))</f>
        <v>74494</v>
      </c>
      <c r="BC58" s="157">
        <f>IF($O58="M-Sa",(BB58/6),IF($O58="m-su",(BB58/7),IF($O58="M-F",(BB58/5),IF($O58="T-Su",(BB58/6),IF($O58="T-Sa",(BB58/5),IF($O58="T-F",(BB58/4),IF($O58="Su-F",(BB58/6),(BB58/7))))))))</f>
        <v>12415.666666666666</v>
      </c>
      <c r="BD58" s="167">
        <f>IF($O58="M-Sa",(AY58*5)+AZ58+BA58,IF($O58="m-su",(AY58*5)+AZ58+BA58,IF($O58="M-F",(AY58*5),IF($O58="T-Su",(AY58*4)+AZ58+BA58,IF($O58="T-Sa",(AY58*4)+AZ58,IF($O58="T-F",(AY58*4),IF($O58="Su-F",(AY58*5)+AZ58+BA58,(AY58*5+AZ58+BA58))))))))</f>
        <v>8676</v>
      </c>
      <c r="BF58" s="6"/>
    </row>
    <row r="59" spans="1:61" s="16" customFormat="1">
      <c r="A59" s="159" t="s">
        <v>445</v>
      </c>
      <c r="B59" s="1" t="s">
        <v>14</v>
      </c>
      <c r="C59" s="1" t="s">
        <v>118</v>
      </c>
      <c r="D59" s="36" t="s">
        <v>119</v>
      </c>
      <c r="E59" s="3" t="s">
        <v>137</v>
      </c>
      <c r="F59" s="140">
        <v>756600</v>
      </c>
      <c r="G59" s="1" t="s">
        <v>92</v>
      </c>
      <c r="H59" s="1" t="s">
        <v>19</v>
      </c>
      <c r="I59" s="1">
        <v>10</v>
      </c>
      <c r="J59" s="1">
        <v>301</v>
      </c>
      <c r="K59" s="1">
        <f>I59*J59</f>
        <v>3010</v>
      </c>
      <c r="L59" s="84"/>
      <c r="M59" s="84" t="s">
        <v>576</v>
      </c>
      <c r="N59" s="1" t="s">
        <v>20</v>
      </c>
      <c r="O59" s="3" t="s">
        <v>45</v>
      </c>
      <c r="P59" s="4" t="s">
        <v>136</v>
      </c>
      <c r="Q59" s="2" t="s">
        <v>28</v>
      </c>
      <c r="R59" s="144"/>
      <c r="S59" s="142"/>
      <c r="T59" s="143"/>
      <c r="U59" s="142"/>
      <c r="V59" s="142"/>
      <c r="W59" s="142"/>
      <c r="X59" s="144"/>
      <c r="Y59" s="142"/>
      <c r="Z59" s="143"/>
      <c r="AA59" s="142"/>
      <c r="AB59" s="142"/>
      <c r="AC59" s="142"/>
      <c r="AD59" s="148"/>
      <c r="AE59" s="149"/>
      <c r="AF59" s="150"/>
      <c r="AG59" s="149"/>
      <c r="AH59" s="149"/>
      <c r="AI59" s="149"/>
      <c r="AJ59" s="148">
        <f>AD59+AG59</f>
        <v>0</v>
      </c>
      <c r="AK59" s="149">
        <f>AE59+AH59</f>
        <v>0</v>
      </c>
      <c r="AL59" s="150">
        <f>AF59+AI59</f>
        <v>0</v>
      </c>
      <c r="AM59" s="148"/>
      <c r="AN59" s="149"/>
      <c r="AO59" s="150"/>
      <c r="AP59" s="152">
        <v>77014</v>
      </c>
      <c r="AQ59" s="152">
        <v>82912</v>
      </c>
      <c r="AR59" s="152"/>
      <c r="AS59" s="151">
        <v>24447</v>
      </c>
      <c r="AT59" s="152">
        <v>21297</v>
      </c>
      <c r="AU59" s="166"/>
      <c r="AV59" s="156">
        <f>AP59+AS59</f>
        <v>101461</v>
      </c>
      <c r="AW59" s="156">
        <f>AQ59+AT59</f>
        <v>104209</v>
      </c>
      <c r="AX59" s="156">
        <f>AR59+AU59</f>
        <v>0</v>
      </c>
      <c r="AY59" s="151">
        <f>2104+217+15574</f>
        <v>17895</v>
      </c>
      <c r="AZ59" s="152">
        <f>605+226+16560</f>
        <v>17391</v>
      </c>
      <c r="BA59" s="166"/>
      <c r="BB59" s="157">
        <f>IF($O59="M-Sa",(AV59*5)+AW59+AX59,IF($O59="m-su",(AV59*5)+AW59+AX59,IF($O59="M-F",(AV59*5),IF($O59="T-Su",(AV59*4)+AW59+AX59,IF($O59="T-Sa",(AV59*4)+AW59,IF($O59="T-F",(AV59*4),IF($O59="Su-F",(AV59*5)+AW59+AX59,(AV59*5+AW59+AX59))))))))</f>
        <v>611514</v>
      </c>
      <c r="BC59" s="157">
        <f>IF($O59="M-Sa",(BB59/6),IF($O59="m-su",(BB59/7),IF($O59="M-F",(BB59/5),IF($O59="T-Su",(BB59/6),IF($O59="T-Sa",(BB59/5),IF($O59="T-F",(BB59/4),IF($O59="Su-F",(BB59/6),(BB59/7))))))))</f>
        <v>101919</v>
      </c>
      <c r="BD59" s="167">
        <f>IF($O59="M-Sa",(AY59*5)+AZ59+BA59,IF($O59="m-su",(AY59*5)+AZ59+BA59,IF($O59="M-F",(AY59*5),IF($O59="T-Su",(AY59*4)+AZ59+BA59,IF($O59="T-Sa",(AY59*4)+AZ59,IF($O59="T-F",(AY59*4),IF($O59="Su-F",(AY59*5)+AZ59+BA59,(AY59*5+AZ59+BA59))))))))</f>
        <v>106866</v>
      </c>
      <c r="BE59" s="5"/>
      <c r="BF59" s="6"/>
      <c r="BG59" s="5"/>
      <c r="BH59" s="5"/>
      <c r="BI59" s="5"/>
    </row>
    <row r="60" spans="1:61" s="16" customFormat="1">
      <c r="A60" s="191" t="s">
        <v>446</v>
      </c>
      <c r="B60" s="14" t="s">
        <v>14</v>
      </c>
      <c r="C60" s="14" t="s">
        <v>118</v>
      </c>
      <c r="D60" s="38" t="s">
        <v>119</v>
      </c>
      <c r="E60" s="17" t="s">
        <v>138</v>
      </c>
      <c r="F60" s="192">
        <v>15348</v>
      </c>
      <c r="G60" s="14" t="s">
        <v>53</v>
      </c>
      <c r="H60" s="14" t="s">
        <v>26</v>
      </c>
      <c r="I60" s="14">
        <v>10</v>
      </c>
      <c r="J60" s="14">
        <v>160</v>
      </c>
      <c r="K60" s="14">
        <f>I60*J60</f>
        <v>1600</v>
      </c>
      <c r="L60" s="204"/>
      <c r="M60" s="84" t="s">
        <v>576</v>
      </c>
      <c r="N60" s="14" t="s">
        <v>35</v>
      </c>
      <c r="O60" s="17" t="s">
        <v>79</v>
      </c>
      <c r="P60" s="18" t="s">
        <v>27</v>
      </c>
      <c r="Q60" s="15" t="s">
        <v>353</v>
      </c>
      <c r="R60" s="199"/>
      <c r="S60" s="200"/>
      <c r="T60" s="201"/>
      <c r="U60" s="200"/>
      <c r="V60" s="200"/>
      <c r="W60" s="200"/>
      <c r="X60" s="199"/>
      <c r="Y60" s="200"/>
      <c r="Z60" s="201"/>
      <c r="AA60" s="200"/>
      <c r="AB60" s="200"/>
      <c r="AC60" s="200"/>
      <c r="AD60" s="199"/>
      <c r="AE60" s="200"/>
      <c r="AF60" s="201"/>
      <c r="AG60" s="200"/>
      <c r="AH60" s="200"/>
      <c r="AI60" s="200"/>
      <c r="AJ60" s="199">
        <f>AD60+AG60</f>
        <v>0</v>
      </c>
      <c r="AK60" s="200">
        <f>AE60+AH60</f>
        <v>0</v>
      </c>
      <c r="AL60" s="201">
        <f>AF60+AI60</f>
        <v>0</v>
      </c>
      <c r="AM60" s="199"/>
      <c r="AN60" s="200"/>
      <c r="AO60" s="201"/>
      <c r="AP60" s="200">
        <v>2660</v>
      </c>
      <c r="AQ60" s="200"/>
      <c r="AR60" s="200"/>
      <c r="AS60" s="199"/>
      <c r="AT60" s="200"/>
      <c r="AU60" s="201"/>
      <c r="AV60" s="202">
        <f>AP60+AS60</f>
        <v>2660</v>
      </c>
      <c r="AW60" s="202">
        <f>AQ60+AT60</f>
        <v>0</v>
      </c>
      <c r="AX60" s="202">
        <f>AR60+AU60</f>
        <v>0</v>
      </c>
      <c r="AY60" s="199"/>
      <c r="AZ60" s="200"/>
      <c r="BA60" s="201"/>
      <c r="BB60" s="211">
        <f>IF($O60="M-Sa",(AV60*5)+AW60+AX60,IF($O60="m-su",(AV60*5)+AW60+AX60,IF($O60="M-F",(AV60*5),IF($O60="T-Su",(AV60*4)+AW60+AX60,IF($O60="T-Sa",(AV60*4)+AW60,IF($O60="T-F",(AV60*4),IF($O60="Su-F",(AV60*5)+AW60+AX60,(AV60*5+AW60+AX60))))))))</f>
        <v>10640</v>
      </c>
      <c r="BC60" s="211">
        <f>IF($O60="M-Sa",(BB60/6),IF($O60="m-su",(BB60/7),IF($O60="M-F",(BB60/5),IF($O60="T-Su",(BB60/6),IF($O60="T-Sa",(BB60/5),IF($O60="T-F",(BB60/4),IF($O60="Su-F",(BB60/6),(BB60/7))))))))</f>
        <v>2660</v>
      </c>
      <c r="BD60" s="212">
        <f>IF($O60="M-Sa",(AY60*5)+AZ60+BA60,IF($O60="m-su",(AY60*5)+AZ60+BA60,IF($O60="M-F",(AY60*5),IF($O60="T-Su",(AY60*4)+AZ60+BA60,IF($O60="T-Sa",(AY60*4)+AZ60,IF($O60="T-F",(AY60*4),IF($O60="Su-F",(AY60*5)+AZ60+BA60,(AY60*5+AZ60+BA60))))))))</f>
        <v>0</v>
      </c>
      <c r="BF60" s="19" t="s">
        <v>121</v>
      </c>
      <c r="BH60" s="23"/>
    </row>
    <row r="61" spans="1:61" s="5" customFormat="1">
      <c r="A61" s="159" t="s">
        <v>139</v>
      </c>
      <c r="B61" s="1" t="s">
        <v>14</v>
      </c>
      <c r="C61" s="1" t="s">
        <v>118</v>
      </c>
      <c r="D61" s="36" t="s">
        <v>119</v>
      </c>
      <c r="E61" s="3" t="s">
        <v>140</v>
      </c>
      <c r="F61" s="140">
        <v>165500</v>
      </c>
      <c r="G61" s="1" t="s">
        <v>41</v>
      </c>
      <c r="H61" s="1" t="s">
        <v>19</v>
      </c>
      <c r="I61" s="1">
        <v>10</v>
      </c>
      <c r="J61" s="1">
        <v>301</v>
      </c>
      <c r="K61" s="1">
        <f>I61*J61</f>
        <v>3010</v>
      </c>
      <c r="L61" s="84"/>
      <c r="M61" s="84" t="s">
        <v>576</v>
      </c>
      <c r="N61" s="1" t="s">
        <v>20</v>
      </c>
      <c r="O61" s="3" t="s">
        <v>45</v>
      </c>
      <c r="P61" s="4" t="s">
        <v>27</v>
      </c>
      <c r="Q61" s="2" t="s">
        <v>28</v>
      </c>
      <c r="R61" s="144"/>
      <c r="S61" s="142"/>
      <c r="T61" s="143"/>
      <c r="U61" s="142"/>
      <c r="V61" s="142"/>
      <c r="W61" s="142"/>
      <c r="X61" s="144"/>
      <c r="Y61" s="142"/>
      <c r="Z61" s="143"/>
      <c r="AA61" s="142"/>
      <c r="AB61" s="142"/>
      <c r="AC61" s="142"/>
      <c r="AD61" s="148"/>
      <c r="AE61" s="149"/>
      <c r="AF61" s="150"/>
      <c r="AG61" s="149"/>
      <c r="AH61" s="149"/>
      <c r="AI61" s="149"/>
      <c r="AJ61" s="148">
        <f>AD61+AG61</f>
        <v>0</v>
      </c>
      <c r="AK61" s="149">
        <f>AE61+AH61</f>
        <v>0</v>
      </c>
      <c r="AL61" s="150">
        <f>AF61+AI61</f>
        <v>0</v>
      </c>
      <c r="AM61" s="148"/>
      <c r="AN61" s="149"/>
      <c r="AO61" s="150"/>
      <c r="AP61" s="152">
        <v>16880</v>
      </c>
      <c r="AQ61" s="152">
        <v>19041</v>
      </c>
      <c r="AR61" s="152"/>
      <c r="AS61" s="151">
        <v>1832</v>
      </c>
      <c r="AT61" s="152">
        <v>1595</v>
      </c>
      <c r="AU61" s="166"/>
      <c r="AV61" s="156">
        <f>AP61+AS61</f>
        <v>18712</v>
      </c>
      <c r="AW61" s="156">
        <f>AQ61+AT61</f>
        <v>20636</v>
      </c>
      <c r="AX61" s="156">
        <f>AR61+AU61</f>
        <v>0</v>
      </c>
      <c r="AY61" s="151">
        <f>541+696+389</f>
        <v>1626</v>
      </c>
      <c r="AZ61" s="152">
        <f>544+393</f>
        <v>937</v>
      </c>
      <c r="BA61" s="166"/>
      <c r="BB61" s="157">
        <f>IF($O61="M-Sa",(AV61*5)+AW61+AX61,IF($O61="m-su",(AV61*5)+AW61+AX61,IF($O61="M-F",(AV61*5),IF($O61="T-Su",(AV61*4)+AW61+AX61,IF($O61="T-Sa",(AV61*4)+AW61,IF($O61="T-F",(AV61*4),IF($O61="Su-F",(AV61*5)+AW61+AX61,(AV61*5+AW61+AX61))))))))</f>
        <v>114196</v>
      </c>
      <c r="BC61" s="157">
        <f>IF($O61="M-Sa",(BB61/6),IF($O61="m-su",(BB61/7),IF($O61="M-F",(BB61/5),IF($O61="T-Su",(BB61/6),IF($O61="T-Sa",(BB61/5),IF($O61="T-F",(BB61/4),IF($O61="Su-F",(BB61/6),(BB61/7))))))))</f>
        <v>19032.666666666668</v>
      </c>
      <c r="BD61" s="167">
        <f>IF($O61="M-Sa",(AY61*5)+AZ61+BA61,IF($O61="m-su",(AY61*5)+AZ61+BA61,IF($O61="M-F",(AY61*5),IF($O61="T-Su",(AY61*4)+AZ61+BA61,IF($O61="T-Sa",(AY61*4)+AZ61,IF($O61="T-F",(AY61*4),IF($O61="Su-F",(AY61*5)+AZ61+BA61,(AY61*5+AZ61+BA61))))))))</f>
        <v>9067</v>
      </c>
      <c r="BF61" s="6"/>
    </row>
    <row r="62" spans="1:61" s="16" customFormat="1">
      <c r="A62" s="159" t="s">
        <v>141</v>
      </c>
      <c r="B62" s="1" t="s">
        <v>14</v>
      </c>
      <c r="C62" s="1" t="s">
        <v>118</v>
      </c>
      <c r="D62" s="36" t="s">
        <v>119</v>
      </c>
      <c r="E62" s="3" t="s">
        <v>142</v>
      </c>
      <c r="F62" s="140">
        <v>500000</v>
      </c>
      <c r="G62" s="1" t="s">
        <v>41</v>
      </c>
      <c r="H62" s="1" t="s">
        <v>19</v>
      </c>
      <c r="I62" s="1">
        <v>10</v>
      </c>
      <c r="J62" s="1">
        <v>309</v>
      </c>
      <c r="K62" s="1">
        <f>I62*J62</f>
        <v>3090</v>
      </c>
      <c r="L62" s="84"/>
      <c r="M62" s="84" t="s">
        <v>576</v>
      </c>
      <c r="N62" s="1" t="s">
        <v>20</v>
      </c>
      <c r="O62" s="3" t="s">
        <v>45</v>
      </c>
      <c r="P62" s="4" t="s">
        <v>27</v>
      </c>
      <c r="Q62" s="2" t="s">
        <v>28</v>
      </c>
      <c r="R62" s="144"/>
      <c r="S62" s="142"/>
      <c r="T62" s="143"/>
      <c r="U62" s="142"/>
      <c r="V62" s="142"/>
      <c r="W62" s="142"/>
      <c r="X62" s="144"/>
      <c r="Y62" s="142"/>
      <c r="Z62" s="143"/>
      <c r="AA62" s="142"/>
      <c r="AB62" s="142"/>
      <c r="AC62" s="142"/>
      <c r="AD62" s="148"/>
      <c r="AE62" s="149"/>
      <c r="AF62" s="150"/>
      <c r="AG62" s="149"/>
      <c r="AH62" s="149"/>
      <c r="AI62" s="149"/>
      <c r="AJ62" s="148">
        <f>AD62+AG62</f>
        <v>0</v>
      </c>
      <c r="AK62" s="149">
        <f>AE62+AH62</f>
        <v>0</v>
      </c>
      <c r="AL62" s="150">
        <f>AF62+AI62</f>
        <v>0</v>
      </c>
      <c r="AM62" s="148"/>
      <c r="AN62" s="149"/>
      <c r="AO62" s="150"/>
      <c r="AP62" s="152">
        <v>54497</v>
      </c>
      <c r="AQ62" s="152">
        <v>59801</v>
      </c>
      <c r="AR62" s="152"/>
      <c r="AS62" s="151">
        <v>23304</v>
      </c>
      <c r="AT62" s="152">
        <v>20172</v>
      </c>
      <c r="AU62" s="166"/>
      <c r="AV62" s="156">
        <f>AP62+AS62</f>
        <v>77801</v>
      </c>
      <c r="AW62" s="156">
        <f>AQ62+AT62</f>
        <v>79973</v>
      </c>
      <c r="AX62" s="156">
        <f>AR62+AU62</f>
        <v>0</v>
      </c>
      <c r="AY62" s="151">
        <f>1982+607+18405</f>
        <v>20994</v>
      </c>
      <c r="AZ62" s="152">
        <f>1824+562+16613</f>
        <v>18999</v>
      </c>
      <c r="BA62" s="166"/>
      <c r="BB62" s="157">
        <f>IF($O62="M-Sa",(AV62*5)+AW62+AX62,IF($O62="m-su",(AV62*5)+AW62+AX62,IF($O62="M-F",(AV62*5),IF($O62="T-Su",(AV62*4)+AW62+AX62,IF($O62="T-Sa",(AV62*4)+AW62,IF($O62="T-F",(AV62*4),IF($O62="Su-F",(AV62*5)+AW62+AX62,(AV62*5+AW62+AX62))))))))</f>
        <v>468978</v>
      </c>
      <c r="BC62" s="157">
        <f>IF($O62="M-Sa",(BB62/6),IF($O62="m-su",(BB62/7),IF($O62="M-F",(BB62/5),IF($O62="T-Su",(BB62/6),IF($O62="T-Sa",(BB62/5),IF($O62="T-F",(BB62/4),IF($O62="Su-F",(BB62/6),(BB62/7))))))))</f>
        <v>78163</v>
      </c>
      <c r="BD62" s="167">
        <f>IF($O62="M-Sa",(AY62*5)+AZ62+BA62,IF($O62="m-su",(AY62*5)+AZ62+BA62,IF($O62="M-F",(AY62*5),IF($O62="T-Su",(AY62*4)+AZ62+BA62,IF($O62="T-Sa",(AY62*4)+AZ62,IF($O62="T-F",(AY62*4),IF($O62="Su-F",(AY62*5)+AZ62+BA62,(AY62*5+AZ62+BA62))))))))</f>
        <v>123969</v>
      </c>
      <c r="BE62" s="5"/>
      <c r="BF62" s="6"/>
      <c r="BG62" s="5"/>
      <c r="BH62" s="5"/>
      <c r="BI62" s="5"/>
    </row>
    <row r="63" spans="1:61" s="5" customFormat="1">
      <c r="A63" s="159" t="s">
        <v>246</v>
      </c>
      <c r="B63" s="1" t="s">
        <v>14</v>
      </c>
      <c r="C63" s="1" t="s">
        <v>118</v>
      </c>
      <c r="D63" s="36" t="s">
        <v>119</v>
      </c>
      <c r="E63" s="3" t="s">
        <v>142</v>
      </c>
      <c r="F63" s="140">
        <v>500000</v>
      </c>
      <c r="G63" s="1" t="s">
        <v>41</v>
      </c>
      <c r="H63" s="1" t="s">
        <v>26</v>
      </c>
      <c r="I63" s="1">
        <v>6</v>
      </c>
      <c r="J63" s="1">
        <v>175</v>
      </c>
      <c r="K63" s="1">
        <f>I63*J63</f>
        <v>1050</v>
      </c>
      <c r="L63" s="1"/>
      <c r="M63" s="1" t="s">
        <v>577</v>
      </c>
      <c r="N63" s="1" t="s">
        <v>20</v>
      </c>
      <c r="O63" s="3" t="s">
        <v>36</v>
      </c>
      <c r="P63" s="4" t="s">
        <v>218</v>
      </c>
      <c r="Q63" s="2" t="s">
        <v>28</v>
      </c>
      <c r="R63" s="162"/>
      <c r="S63" s="160"/>
      <c r="T63" s="161"/>
      <c r="U63" s="160"/>
      <c r="V63" s="160"/>
      <c r="W63" s="160"/>
      <c r="X63" s="162"/>
      <c r="Y63" s="160"/>
      <c r="Z63" s="161"/>
      <c r="AA63" s="160"/>
      <c r="AB63" s="160"/>
      <c r="AC63" s="160"/>
      <c r="AD63" s="163"/>
      <c r="AE63" s="164"/>
      <c r="AF63" s="165"/>
      <c r="AG63" s="164"/>
      <c r="AH63" s="164"/>
      <c r="AI63" s="164"/>
      <c r="AJ63" s="163"/>
      <c r="AK63" s="164"/>
      <c r="AL63" s="165"/>
      <c r="AM63" s="163"/>
      <c r="AN63" s="164"/>
      <c r="AO63" s="165"/>
      <c r="AP63" s="1"/>
      <c r="AQ63" s="1"/>
      <c r="AR63" s="1"/>
      <c r="AS63" s="151">
        <v>37300</v>
      </c>
      <c r="AT63" s="152"/>
      <c r="AU63" s="166"/>
      <c r="AV63" s="156">
        <f>AP63+AS63</f>
        <v>37300</v>
      </c>
      <c r="AW63" s="156">
        <f>AQ63+AT63</f>
        <v>0</v>
      </c>
      <c r="AX63" s="156"/>
      <c r="AY63" s="36"/>
      <c r="AZ63" s="1"/>
      <c r="BA63" s="37"/>
      <c r="BB63" s="157">
        <f>IF($O63="M-Sa",(AV63*5)+AW63+AX63,IF($O63="m-su",(AV63*5)+AW63+AX63,IF($O63="M-F",(AV63*5),IF($O63="T-Su",(AV63*4)+AW63+AX63,IF($O63="T-Sa",(AV63*4)+AW63,IF($O63="T-F",(AV63*4),IF($O63="Su-F",(AV63*5)+AW63+AX63,(AV63*5+AW63+AX63))))))))</f>
        <v>186500</v>
      </c>
      <c r="BC63" s="157">
        <f>IF($O63="M-Sa",(BB63/6),IF($O63="m-su",(BB63/7),IF($O63="M-F",(BB63/5),IF($O63="T-Su",(BB63/6),IF($O63="T-Sa",(BB63/5),IF($O63="T-F",(BB63/4),IF($O63="Su-F",(BB63/6),(BB63/7))))))))</f>
        <v>37300</v>
      </c>
      <c r="BD63" s="167">
        <f>IF($O63="M-Sa",(AY63*5)+AZ63+BA63,IF($O63="m-su",(AY63*5)+AZ63+BA63,IF($O63="M-F",(AY63*5),IF($O63="T-Su",(AY63*4)+AZ63+BA63,IF($O63="T-Sa",(AY63*4)+AZ63,IF($O63="T-F",(AY63*4),IF($O63="Su-F",(AY63*5)+AZ63+BA63,(AY63*5+AZ63+BA63))))))))</f>
        <v>0</v>
      </c>
      <c r="BE63" s="34"/>
      <c r="BF63" s="3"/>
      <c r="BG63" s="168">
        <v>2011</v>
      </c>
      <c r="BH63" s="35" t="s">
        <v>247</v>
      </c>
    </row>
    <row r="64" spans="1:61" s="7" customFormat="1">
      <c r="A64" s="159" t="s">
        <v>145</v>
      </c>
      <c r="B64" s="1" t="s">
        <v>14</v>
      </c>
      <c r="C64" s="1" t="s">
        <v>118</v>
      </c>
      <c r="D64" s="36" t="s">
        <v>119</v>
      </c>
      <c r="E64" s="3" t="s">
        <v>144</v>
      </c>
      <c r="F64" s="140"/>
      <c r="G64" s="1" t="s">
        <v>18</v>
      </c>
      <c r="H64" s="1" t="s">
        <v>19</v>
      </c>
      <c r="I64" s="1">
        <v>10</v>
      </c>
      <c r="J64" s="1">
        <v>300</v>
      </c>
      <c r="K64" s="1">
        <f>I64*J64</f>
        <v>3000</v>
      </c>
      <c r="L64" s="84" t="s">
        <v>337</v>
      </c>
      <c r="M64" s="84" t="s">
        <v>576</v>
      </c>
      <c r="N64" s="1" t="s">
        <v>20</v>
      </c>
      <c r="O64" s="3" t="s">
        <v>45</v>
      </c>
      <c r="P64" s="4" t="s">
        <v>22</v>
      </c>
      <c r="Q64" s="2" t="s">
        <v>23</v>
      </c>
      <c r="R64" s="144">
        <f>142509-41297</f>
        <v>101212</v>
      </c>
      <c r="S64" s="142">
        <f>132116-40144</f>
        <v>91972</v>
      </c>
      <c r="T64" s="143"/>
      <c r="U64" s="142">
        <f>41297+24134</f>
        <v>65431</v>
      </c>
      <c r="V64" s="142">
        <f>40144+45850</f>
        <v>85994</v>
      </c>
      <c r="W64" s="142"/>
      <c r="X64" s="144">
        <f>R64+U64</f>
        <v>166643</v>
      </c>
      <c r="Y64" s="142">
        <f>S64+V64</f>
        <v>177966</v>
      </c>
      <c r="Z64" s="143"/>
      <c r="AA64" s="142"/>
      <c r="AB64" s="142"/>
      <c r="AC64" s="142"/>
      <c r="AD64" s="148">
        <v>86283</v>
      </c>
      <c r="AE64" s="149">
        <v>96594</v>
      </c>
      <c r="AF64" s="150"/>
      <c r="AG64" s="149">
        <v>73200</v>
      </c>
      <c r="AH64" s="149">
        <v>59919</v>
      </c>
      <c r="AI64" s="149"/>
      <c r="AJ64" s="148">
        <f>AD64+AG64</f>
        <v>159483</v>
      </c>
      <c r="AK64" s="149">
        <f>AE64+AH64</f>
        <v>156513</v>
      </c>
      <c r="AL64" s="150">
        <f>AF64+AI64</f>
        <v>0</v>
      </c>
      <c r="AM64" s="148">
        <v>41455</v>
      </c>
      <c r="AN64" s="149">
        <v>30140</v>
      </c>
      <c r="AO64" s="150"/>
      <c r="AP64" s="152">
        <f>AVERAGE(R64,AD64)</f>
        <v>93747.5</v>
      </c>
      <c r="AQ64" s="152">
        <f>AVERAGE(S64,AE64)</f>
        <v>94283</v>
      </c>
      <c r="AR64" s="152"/>
      <c r="AS64" s="151">
        <f>AVERAGE(U64,AG64)</f>
        <v>69315.5</v>
      </c>
      <c r="AT64" s="152">
        <f>AVERAGE(V64,AH64)</f>
        <v>72956.5</v>
      </c>
      <c r="AU64" s="166"/>
      <c r="AV64" s="156">
        <f>AVERAGE(X64,AJ64)</f>
        <v>163063</v>
      </c>
      <c r="AW64" s="156">
        <f>AVERAGE(Y64,AK64)</f>
        <v>167239.5</v>
      </c>
      <c r="AX64" s="156">
        <f>AVERAGE(Z64,AL64)</f>
        <v>0</v>
      </c>
      <c r="AY64" s="151">
        <f>AVERAGE(AA64,AM64)</f>
        <v>41455</v>
      </c>
      <c r="AZ64" s="152">
        <f>AVERAGE(AB64,AN64)</f>
        <v>30140</v>
      </c>
      <c r="BA64" s="166"/>
      <c r="BB64" s="157">
        <f>IF($O64="M-Sa",(AV64*5)+AW64+AX64,IF($O64="m-su",(AV64*5)+AW64+AX64,IF($O64="M-F",(AV64*5),IF($O64="T-Su",(AV64*4)+AW64+AX64,IF($O64="T-Sa",(AV64*4)+AW64,IF($O64="T-F",(AV64*4),IF($O64="Su-F",(AV64*5)+AW64+AX64,(AV64*5+AW64+AX64))))))))</f>
        <v>982554.5</v>
      </c>
      <c r="BC64" s="157">
        <f>IF($O64="M-Sa",(BB64/6),IF($O64="m-su",(BB64/7),IF($O64="M-F",(BB64/5),IF($O64="T-Su",(BB64/6),IF($O64="T-Sa",(BB64/5),IF($O64="T-F",(BB64/4),IF($O64="Su-F",(BB64/6),(BB64/7))))))))</f>
        <v>163759.08333333334</v>
      </c>
      <c r="BD64" s="167">
        <f>IF($O64="M-Sa",(AY64*5)+AZ64+BA64,IF($O64="m-su",(AY64*5)+AZ64+BA64,IF($O64="M-F",(AY64*5),IF($O64="T-Su",(AY64*4)+AZ64+BA64,IF($O64="T-Sa",(AY64*4)+AZ64,IF($O64="T-F",(AY64*4),IF($O64="Su-F",(AY64*5)+AZ64+BA64,(AY64*5+AZ64+BA64))))))))</f>
        <v>237415</v>
      </c>
      <c r="BE64" s="5"/>
      <c r="BF64" s="12" t="s">
        <v>55</v>
      </c>
      <c r="BG64" s="9"/>
      <c r="BH64" s="13" t="s">
        <v>55</v>
      </c>
      <c r="BI64" s="5"/>
    </row>
    <row r="65" spans="1:61" s="16" customFormat="1">
      <c r="A65" s="159" t="s">
        <v>143</v>
      </c>
      <c r="B65" s="1" t="s">
        <v>14</v>
      </c>
      <c r="C65" s="1" t="s">
        <v>118</v>
      </c>
      <c r="D65" s="36" t="s">
        <v>119</v>
      </c>
      <c r="E65" s="3" t="s">
        <v>144</v>
      </c>
      <c r="F65" s="140"/>
      <c r="G65" s="1" t="s">
        <v>18</v>
      </c>
      <c r="H65" s="1" t="s">
        <v>19</v>
      </c>
      <c r="I65" s="1">
        <v>10</v>
      </c>
      <c r="J65" s="1">
        <v>280</v>
      </c>
      <c r="K65" s="1">
        <f>I65*J65</f>
        <v>2800</v>
      </c>
      <c r="L65" s="84" t="s">
        <v>332</v>
      </c>
      <c r="M65" s="84" t="s">
        <v>576</v>
      </c>
      <c r="N65" s="1" t="s">
        <v>20</v>
      </c>
      <c r="O65" s="3" t="s">
        <v>45</v>
      </c>
      <c r="P65" s="4" t="s">
        <v>320</v>
      </c>
      <c r="Q65" s="2" t="s">
        <v>23</v>
      </c>
      <c r="R65" s="144">
        <f>291571-30855</f>
        <v>260716</v>
      </c>
      <c r="S65" s="142">
        <f>354850-31907</f>
        <v>322943</v>
      </c>
      <c r="T65" s="143"/>
      <c r="U65" s="142">
        <f>30855+40740</f>
        <v>71595</v>
      </c>
      <c r="V65" s="142">
        <f>31907+41551</f>
        <v>73458</v>
      </c>
      <c r="W65" s="142"/>
      <c r="X65" s="144">
        <f>R65+U65</f>
        <v>332311</v>
      </c>
      <c r="Y65" s="142">
        <f>S65+V65</f>
        <v>396401</v>
      </c>
      <c r="Z65" s="143"/>
      <c r="AA65" s="142"/>
      <c r="AB65" s="142"/>
      <c r="AC65" s="142"/>
      <c r="AD65" s="148">
        <v>258602</v>
      </c>
      <c r="AE65" s="149">
        <v>312998</v>
      </c>
      <c r="AF65" s="150"/>
      <c r="AG65" s="149">
        <v>102056</v>
      </c>
      <c r="AH65" s="149">
        <v>104482</v>
      </c>
      <c r="AI65" s="149"/>
      <c r="AJ65" s="148">
        <f>AD65+AG65</f>
        <v>360658</v>
      </c>
      <c r="AK65" s="149">
        <f>AE65+AH65</f>
        <v>417480</v>
      </c>
      <c r="AL65" s="150">
        <f>AF65+AI65</f>
        <v>0</v>
      </c>
      <c r="AM65" s="148">
        <v>123185</v>
      </c>
      <c r="AN65" s="149">
        <v>114217</v>
      </c>
      <c r="AO65" s="150"/>
      <c r="AP65" s="152">
        <f>AVERAGE(R65,AD65)</f>
        <v>259659</v>
      </c>
      <c r="AQ65" s="152">
        <f>AVERAGE(S65,AE65)</f>
        <v>317970.5</v>
      </c>
      <c r="AR65" s="152"/>
      <c r="AS65" s="151">
        <f>AVERAGE(U65,AG65)</f>
        <v>86825.5</v>
      </c>
      <c r="AT65" s="152">
        <f>AVERAGE(V65,AH65)</f>
        <v>88970</v>
      </c>
      <c r="AU65" s="166"/>
      <c r="AV65" s="156">
        <f>AVERAGE(X65,AJ65)</f>
        <v>346484.5</v>
      </c>
      <c r="AW65" s="156">
        <f>AVERAGE(Y65,AK65)</f>
        <v>406940.5</v>
      </c>
      <c r="AX65" s="156">
        <f>AVERAGE(Z65,AL65)</f>
        <v>0</v>
      </c>
      <c r="AY65" s="151">
        <f>AVERAGE(AA65,AM65)</f>
        <v>123185</v>
      </c>
      <c r="AZ65" s="152">
        <f>AVERAGE(AB65,AN65)</f>
        <v>114217</v>
      </c>
      <c r="BA65" s="166"/>
      <c r="BB65" s="157">
        <f>IF($O65="M-Sa",(AV65*5)+AW65+AX65,IF($O65="m-su",(AV65*5)+AW65+AX65,IF($O65="M-F",(AV65*5),IF($O65="T-Su",(AV65*4)+AW65+AX65,IF($O65="T-Sa",(AV65*4)+AW65,IF($O65="T-F",(AV65*4),IF($O65="Su-F",(AV65*5)+AW65+AX65,(AV65*5+AW65+AX65))))))))</f>
        <v>2139363</v>
      </c>
      <c r="BC65" s="157">
        <f>IF($O65="M-Sa",(BB65/6),IF($O65="m-su",(BB65/7),IF($O65="M-F",(BB65/5),IF($O65="T-Su",(BB65/6),IF($O65="T-Sa",(BB65/5),IF($O65="T-F",(BB65/4),IF($O65="Su-F",(BB65/6),(BB65/7))))))))</f>
        <v>356560.5</v>
      </c>
      <c r="BD65" s="167">
        <f>IF($O65="M-Sa",(AY65*5)+AZ65+BA65,IF($O65="m-su",(AY65*5)+AZ65+BA65,IF($O65="M-F",(AY65*5),IF($O65="T-Su",(AY65*4)+AZ65+BA65,IF($O65="T-Sa",(AY65*4)+AZ65,IF($O65="T-F",(AY65*4),IF($O65="Su-F",(AY65*5)+AZ65+BA65,(AY65*5+AZ65+BA65))))))))</f>
        <v>730142</v>
      </c>
      <c r="BE65" s="5"/>
      <c r="BF65" s="6"/>
      <c r="BG65" s="5"/>
      <c r="BH65" s="5"/>
      <c r="BI65" s="5"/>
    </row>
    <row r="66" spans="1:61" s="8" customFormat="1">
      <c r="A66" s="159" t="s">
        <v>146</v>
      </c>
      <c r="B66" s="1" t="s">
        <v>14</v>
      </c>
      <c r="C66" s="1" t="s">
        <v>118</v>
      </c>
      <c r="D66" s="36" t="s">
        <v>119</v>
      </c>
      <c r="E66" s="3" t="s">
        <v>147</v>
      </c>
      <c r="F66" s="140">
        <v>82997</v>
      </c>
      <c r="G66" s="1" t="s">
        <v>34</v>
      </c>
      <c r="H66" s="1" t="s">
        <v>19</v>
      </c>
      <c r="I66" s="1">
        <v>10</v>
      </c>
      <c r="J66" s="1">
        <v>301</v>
      </c>
      <c r="K66" s="1">
        <f>I66*J66</f>
        <v>3010</v>
      </c>
      <c r="L66" s="84"/>
      <c r="M66" s="84" t="s">
        <v>576</v>
      </c>
      <c r="N66" s="1" t="s">
        <v>20</v>
      </c>
      <c r="O66" s="3" t="s">
        <v>45</v>
      </c>
      <c r="P66" s="4" t="s">
        <v>27</v>
      </c>
      <c r="Q66" s="2" t="s">
        <v>28</v>
      </c>
      <c r="R66" s="144"/>
      <c r="S66" s="142"/>
      <c r="T66" s="143"/>
      <c r="U66" s="142"/>
      <c r="V66" s="142"/>
      <c r="W66" s="142"/>
      <c r="X66" s="144"/>
      <c r="Y66" s="142"/>
      <c r="Z66" s="143"/>
      <c r="AA66" s="142"/>
      <c r="AB66" s="142"/>
      <c r="AC66" s="142"/>
      <c r="AD66" s="148"/>
      <c r="AE66" s="149"/>
      <c r="AF66" s="150"/>
      <c r="AG66" s="149"/>
      <c r="AH66" s="149"/>
      <c r="AI66" s="149"/>
      <c r="AJ66" s="148">
        <f>AD66+AG66</f>
        <v>0</v>
      </c>
      <c r="AK66" s="149">
        <f>AE66+AH66</f>
        <v>0</v>
      </c>
      <c r="AL66" s="150">
        <f>AF66+AI66</f>
        <v>0</v>
      </c>
      <c r="AM66" s="148"/>
      <c r="AN66" s="149"/>
      <c r="AO66" s="150"/>
      <c r="AP66" s="152">
        <v>8655</v>
      </c>
      <c r="AQ66" s="152">
        <v>8675</v>
      </c>
      <c r="AR66" s="152"/>
      <c r="AS66" s="151">
        <v>12111</v>
      </c>
      <c r="AT66" s="152">
        <v>6575</v>
      </c>
      <c r="AU66" s="166"/>
      <c r="AV66" s="156">
        <f>AP66+AS66</f>
        <v>20766</v>
      </c>
      <c r="AW66" s="156">
        <f>AQ66+AT66</f>
        <v>15250</v>
      </c>
      <c r="AX66" s="156">
        <f>AR66+AU66</f>
        <v>0</v>
      </c>
      <c r="AY66" s="151">
        <f>162+326+5636</f>
        <v>6124</v>
      </c>
      <c r="AZ66" s="152">
        <f>169+339+5907</f>
        <v>6415</v>
      </c>
      <c r="BA66" s="166"/>
      <c r="BB66" s="157">
        <f>IF($O66="M-Sa",(AV66*5)+AW66+AX66,IF($O66="m-su",(AV66*5)+AW66+AX66,IF($O66="M-F",(AV66*5),IF($O66="T-Su",(AV66*4)+AW66+AX66,IF($O66="T-Sa",(AV66*4)+AW66,IF($O66="T-F",(AV66*4),IF($O66="Su-F",(AV66*5)+AW66+AX66,(AV66*5+AW66+AX66))))))))</f>
        <v>119080</v>
      </c>
      <c r="BC66" s="157">
        <f>IF($O66="M-Sa",(BB66/6),IF($O66="m-su",(BB66/7),IF($O66="M-F",(BB66/5),IF($O66="T-Su",(BB66/6),IF($O66="T-Sa",(BB66/5),IF($O66="T-F",(BB66/4),IF($O66="Su-F",(BB66/6),(BB66/7))))))))</f>
        <v>19846.666666666668</v>
      </c>
      <c r="BD66" s="167">
        <f>IF($O66="M-Sa",(AY66*5)+AZ66+BA66,IF($O66="m-su",(AY66*5)+AZ66+BA66,IF($O66="M-F",(AY66*5),IF($O66="T-Su",(AY66*4)+AZ66+BA66,IF($O66="T-Sa",(AY66*4)+AZ66,IF($O66="T-F",(AY66*4),IF($O66="Su-F",(AY66*5)+AZ66+BA66,(AY66*5+AZ66+BA66))))))))</f>
        <v>37035</v>
      </c>
      <c r="BE66" s="5"/>
      <c r="BF66" s="6"/>
      <c r="BG66" s="5"/>
      <c r="BH66" s="5"/>
      <c r="BI66" s="5"/>
    </row>
    <row r="67" spans="1:61" s="16" customFormat="1">
      <c r="A67" s="159" t="s">
        <v>148</v>
      </c>
      <c r="B67" s="1" t="s">
        <v>14</v>
      </c>
      <c r="C67" s="1" t="s">
        <v>118</v>
      </c>
      <c r="D67" s="36" t="s">
        <v>119</v>
      </c>
      <c r="E67" s="3" t="s">
        <v>149</v>
      </c>
      <c r="F67" s="140">
        <v>64043</v>
      </c>
      <c r="G67" s="1" t="s">
        <v>34</v>
      </c>
      <c r="H67" s="1" t="s">
        <v>19</v>
      </c>
      <c r="I67" s="1">
        <v>10</v>
      </c>
      <c r="J67" s="1">
        <v>301</v>
      </c>
      <c r="K67" s="1">
        <f>I67*J67</f>
        <v>3010</v>
      </c>
      <c r="L67" s="84"/>
      <c r="M67" s="84" t="s">
        <v>576</v>
      </c>
      <c r="N67" s="1" t="s">
        <v>35</v>
      </c>
      <c r="O67" s="3" t="s">
        <v>45</v>
      </c>
      <c r="P67" s="4" t="s">
        <v>27</v>
      </c>
      <c r="Q67" s="2" t="s">
        <v>28</v>
      </c>
      <c r="R67" s="144"/>
      <c r="S67" s="142"/>
      <c r="T67" s="143"/>
      <c r="U67" s="142"/>
      <c r="V67" s="142"/>
      <c r="W67" s="142"/>
      <c r="X67" s="144"/>
      <c r="Y67" s="142"/>
      <c r="Z67" s="143"/>
      <c r="AA67" s="142"/>
      <c r="AB67" s="142"/>
      <c r="AC67" s="142"/>
      <c r="AD67" s="148"/>
      <c r="AE67" s="149"/>
      <c r="AF67" s="150"/>
      <c r="AG67" s="149"/>
      <c r="AH67" s="149"/>
      <c r="AI67" s="149"/>
      <c r="AJ67" s="148">
        <f>AD67+AG67</f>
        <v>0</v>
      </c>
      <c r="AK67" s="149">
        <f>AE67+AH67</f>
        <v>0</v>
      </c>
      <c r="AL67" s="150">
        <f>AF67+AI67</f>
        <v>0</v>
      </c>
      <c r="AM67" s="148"/>
      <c r="AN67" s="149"/>
      <c r="AO67" s="150"/>
      <c r="AP67" s="152">
        <v>9382</v>
      </c>
      <c r="AQ67" s="152">
        <v>9893</v>
      </c>
      <c r="AR67" s="152"/>
      <c r="AS67" s="151">
        <v>271</v>
      </c>
      <c r="AT67" s="152">
        <v>284</v>
      </c>
      <c r="AU67" s="166"/>
      <c r="AV67" s="156">
        <f>AP67+AS67</f>
        <v>9653</v>
      </c>
      <c r="AW67" s="156">
        <f>AQ67+AT67</f>
        <v>10177</v>
      </c>
      <c r="AX67" s="156">
        <f>AR67+AU67</f>
        <v>0</v>
      </c>
      <c r="AY67" s="151">
        <f>286+122+10</f>
        <v>418</v>
      </c>
      <c r="AZ67" s="152">
        <f>285+121+9</f>
        <v>415</v>
      </c>
      <c r="BA67" s="166"/>
      <c r="BB67" s="157">
        <f>IF($O67="M-Sa",(AV67*5)+AW67+AX67,IF($O67="m-su",(AV67*5)+AW67+AX67,IF($O67="M-F",(AV67*5),IF($O67="T-Su",(AV67*4)+AW67+AX67,IF($O67="T-Sa",(AV67*4)+AW67,IF($O67="T-F",(AV67*4),IF($O67="Su-F",(AV67*5)+AW67+AX67,(AV67*5+AW67+AX67))))))))</f>
        <v>58442</v>
      </c>
      <c r="BC67" s="157">
        <f>IF($O67="M-Sa",(BB67/6),IF($O67="m-su",(BB67/7),IF($O67="M-F",(BB67/5),IF($O67="T-Su",(BB67/6),IF($O67="T-Sa",(BB67/5),IF($O67="T-F",(BB67/4),IF($O67="Su-F",(BB67/6),(BB67/7))))))))</f>
        <v>9740.3333333333339</v>
      </c>
      <c r="BD67" s="167">
        <f>IF($O67="M-Sa",(AY67*5)+AZ67+BA67,IF($O67="m-su",(AY67*5)+AZ67+BA67,IF($O67="M-F",(AY67*5),IF($O67="T-Su",(AY67*4)+AZ67+BA67,IF($O67="T-Sa",(AY67*4)+AZ67,IF($O67="T-F",(AY67*4),IF($O67="Su-F",(AY67*5)+AZ67+BA67,(AY67*5+AZ67+BA67))))))))</f>
        <v>2505</v>
      </c>
      <c r="BE67" s="5"/>
      <c r="BF67" s="12" t="s">
        <v>55</v>
      </c>
      <c r="BG67" s="9"/>
      <c r="BH67" s="9" t="s">
        <v>55</v>
      </c>
      <c r="BI67" s="5"/>
    </row>
    <row r="68" spans="1:61" s="7" customFormat="1">
      <c r="A68" s="191" t="s">
        <v>447</v>
      </c>
      <c r="B68" s="14" t="s">
        <v>14</v>
      </c>
      <c r="C68" s="14" t="s">
        <v>118</v>
      </c>
      <c r="D68" s="38" t="s">
        <v>119</v>
      </c>
      <c r="E68" s="17" t="s">
        <v>151</v>
      </c>
      <c r="F68" s="192">
        <v>40731</v>
      </c>
      <c r="G68" s="14" t="s">
        <v>53</v>
      </c>
      <c r="H68" s="14" t="s">
        <v>19</v>
      </c>
      <c r="I68" s="14">
        <v>10</v>
      </c>
      <c r="J68" s="14">
        <v>301</v>
      </c>
      <c r="K68" s="14">
        <f>I68*J68</f>
        <v>3010</v>
      </c>
      <c r="L68" s="204"/>
      <c r="M68" s="84" t="s">
        <v>576</v>
      </c>
      <c r="N68" s="14" t="s">
        <v>35</v>
      </c>
      <c r="O68" s="17" t="s">
        <v>45</v>
      </c>
      <c r="P68" s="18" t="s">
        <v>27</v>
      </c>
      <c r="Q68" s="15" t="s">
        <v>28</v>
      </c>
      <c r="R68" s="207"/>
      <c r="S68" s="205"/>
      <c r="T68" s="206"/>
      <c r="U68" s="205"/>
      <c r="V68" s="205"/>
      <c r="W68" s="205"/>
      <c r="X68" s="207"/>
      <c r="Y68" s="205"/>
      <c r="Z68" s="206"/>
      <c r="AA68" s="205"/>
      <c r="AB68" s="205"/>
      <c r="AC68" s="205"/>
      <c r="AD68" s="208"/>
      <c r="AE68" s="209"/>
      <c r="AF68" s="210"/>
      <c r="AG68" s="209"/>
      <c r="AH68" s="209"/>
      <c r="AI68" s="209"/>
      <c r="AJ68" s="208">
        <f>AD68+AG68</f>
        <v>0</v>
      </c>
      <c r="AK68" s="209">
        <f>AE68+AH68</f>
        <v>0</v>
      </c>
      <c r="AL68" s="210">
        <f>AF68+AI68</f>
        <v>0</v>
      </c>
      <c r="AM68" s="208"/>
      <c r="AN68" s="209"/>
      <c r="AO68" s="210"/>
      <c r="AP68" s="200">
        <v>9157</v>
      </c>
      <c r="AQ68" s="200">
        <v>6139</v>
      </c>
      <c r="AR68" s="200"/>
      <c r="AS68" s="199"/>
      <c r="AT68" s="200"/>
      <c r="AU68" s="201"/>
      <c r="AV68" s="202">
        <f>AP68+AS68</f>
        <v>9157</v>
      </c>
      <c r="AW68" s="202">
        <f>AQ68+AT68</f>
        <v>6139</v>
      </c>
      <c r="AX68" s="202">
        <f>AR68+AU68</f>
        <v>0</v>
      </c>
      <c r="AY68" s="199"/>
      <c r="AZ68" s="200"/>
      <c r="BA68" s="201"/>
      <c r="BB68" s="211">
        <f>IF($O68="M-Sa",(AV68*5)+AW68+AX68,IF($O68="m-su",(AV68*5)+AW68+AX68,IF($O68="M-F",(AV68*5),IF($O68="T-Su",(AV68*4)+AW68+AX68,IF($O68="T-Sa",(AV68*4)+AW68,IF($O68="T-F",(AV68*4),IF($O68="Su-F",(AV68*5)+AW68+AX68,(AV68*5+AW68+AX68))))))))</f>
        <v>51924</v>
      </c>
      <c r="BC68" s="211">
        <f>IF($O68="M-Sa",(BB68/6),IF($O68="m-su",(BB68/7),IF($O68="M-F",(BB68/5),IF($O68="T-Su",(BB68/6),IF($O68="T-Sa",(BB68/5),IF($O68="T-F",(BB68/4),IF($O68="Su-F",(BB68/6),(BB68/7))))))))</f>
        <v>8654</v>
      </c>
      <c r="BD68" s="212">
        <f>IF($O68="M-Sa",(AY68*5)+AZ68+BA68,IF($O68="m-su",(AY68*5)+AZ68+BA68,IF($O68="M-F",(AY68*5),IF($O68="T-Su",(AY68*4)+AZ68+BA68,IF($O68="T-Sa",(AY68*4)+AZ68,IF($O68="T-F",(AY68*4),IF($O68="Su-F",(AY68*5)+AZ68+BA68,(AY68*5+AZ68+BA68))))))))</f>
        <v>0</v>
      </c>
      <c r="BE68" s="16"/>
      <c r="BF68" s="19" t="s">
        <v>152</v>
      </c>
      <c r="BG68" s="16"/>
      <c r="BH68" s="16"/>
      <c r="BI68" s="16"/>
    </row>
    <row r="69" spans="1:61" s="7" customFormat="1">
      <c r="A69" s="159" t="s">
        <v>448</v>
      </c>
      <c r="B69" s="1" t="s">
        <v>94</v>
      </c>
      <c r="C69" s="1" t="s">
        <v>118</v>
      </c>
      <c r="D69" s="36" t="s">
        <v>119</v>
      </c>
      <c r="E69" s="3" t="s">
        <v>153</v>
      </c>
      <c r="F69" s="140">
        <v>1273300</v>
      </c>
      <c r="G69" s="1" t="s">
        <v>18</v>
      </c>
      <c r="H69" s="1" t="s">
        <v>26</v>
      </c>
      <c r="I69" s="1">
        <v>10</v>
      </c>
      <c r="J69" s="1">
        <v>195</v>
      </c>
      <c r="K69" s="1">
        <f>I69*J69</f>
        <v>1950</v>
      </c>
      <c r="L69" s="84"/>
      <c r="M69" s="84" t="s">
        <v>576</v>
      </c>
      <c r="N69" s="1" t="s">
        <v>20</v>
      </c>
      <c r="O69" s="3" t="s">
        <v>45</v>
      </c>
      <c r="P69" s="4" t="s">
        <v>155</v>
      </c>
      <c r="Q69" s="2" t="s">
        <v>23</v>
      </c>
      <c r="R69" s="144">
        <f>35588-3888</f>
        <v>31700</v>
      </c>
      <c r="S69" s="142">
        <f>34402-2178</f>
        <v>32224</v>
      </c>
      <c r="T69" s="143"/>
      <c r="U69" s="142">
        <f>3888+22</f>
        <v>3910</v>
      </c>
      <c r="V69" s="142">
        <f>2178+22</f>
        <v>2200</v>
      </c>
      <c r="W69" s="142"/>
      <c r="X69" s="144">
        <f>R69+U69</f>
        <v>35610</v>
      </c>
      <c r="Y69" s="142">
        <f>S69+V69</f>
        <v>34424</v>
      </c>
      <c r="Z69" s="143"/>
      <c r="AA69" s="142"/>
      <c r="AB69" s="142"/>
      <c r="AC69" s="142"/>
      <c r="AD69" s="148">
        <v>29637</v>
      </c>
      <c r="AE69" s="149">
        <v>32384</v>
      </c>
      <c r="AF69" s="150"/>
      <c r="AG69" s="149">
        <v>5068</v>
      </c>
      <c r="AH69" s="149">
        <v>2898</v>
      </c>
      <c r="AI69" s="149"/>
      <c r="AJ69" s="148">
        <f>AD69+AG69</f>
        <v>34705</v>
      </c>
      <c r="AK69" s="149">
        <f>AE69+AH69</f>
        <v>35282</v>
      </c>
      <c r="AL69" s="150">
        <f>AF69+AI69</f>
        <v>0</v>
      </c>
      <c r="AM69" s="148">
        <v>4482</v>
      </c>
      <c r="AN69" s="149">
        <v>4730</v>
      </c>
      <c r="AO69" s="150"/>
      <c r="AP69" s="152">
        <f>AVERAGE(R69,AD69)</f>
        <v>30668.5</v>
      </c>
      <c r="AQ69" s="152">
        <f>AVERAGE(S69,AE69)</f>
        <v>32304</v>
      </c>
      <c r="AR69" s="152"/>
      <c r="AS69" s="151">
        <f>AVERAGE(U69,AG69)</f>
        <v>4489</v>
      </c>
      <c r="AT69" s="152">
        <f>AVERAGE(V69,AH69)</f>
        <v>2549</v>
      </c>
      <c r="AU69" s="166"/>
      <c r="AV69" s="156">
        <f>AVERAGE(X69,AJ69)</f>
        <v>35157.5</v>
      </c>
      <c r="AW69" s="156">
        <f>AVERAGE(Y69,AK69)</f>
        <v>34853</v>
      </c>
      <c r="AX69" s="156">
        <f>AVERAGE(Z69,AL69)</f>
        <v>0</v>
      </c>
      <c r="AY69" s="151">
        <f>AVERAGE(AA69,AM69)</f>
        <v>4482</v>
      </c>
      <c r="AZ69" s="152">
        <f>AVERAGE(AB69,AN69)</f>
        <v>4730</v>
      </c>
      <c r="BA69" s="166"/>
      <c r="BB69" s="157">
        <f>IF($O69="M-Sa",(AV69*5)+AW69+AX69,IF($O69="m-su",(AV69*5)+AW69+AX69,IF($O69="M-F",(AV69*5),IF($O69="T-Su",(AV69*4)+AW69+AX69,IF($O69="T-Sa",(AV69*4)+AW69,IF($O69="T-F",(AV69*4),IF($O69="Su-F",(AV69*5)+AW69+AX69,(AV69*5+AW69+AX69))))))))</f>
        <v>210640.5</v>
      </c>
      <c r="BC69" s="157">
        <f>IF($O69="M-Sa",(BB69/6),IF($O69="m-su",(BB69/7),IF($O69="M-F",(BB69/5),IF($O69="T-Su",(BB69/6),IF($O69="T-Sa",(BB69/5),IF($O69="T-F",(BB69/4),IF($O69="Su-F",(BB69/6),(BB69/7))))))))</f>
        <v>35106.75</v>
      </c>
      <c r="BD69" s="167">
        <f>IF($O69="M-Sa",(AY69*5)+AZ69+BA69,IF($O69="m-su",(AY69*5)+AZ69+BA69,IF($O69="M-F",(AY69*5),IF($O69="T-Su",(AY69*4)+AZ69+BA69,IF($O69="T-Sa",(AY69*4)+AZ69,IF($O69="T-F",(AY69*4),IF($O69="Su-F",(AY69*5)+AZ69+BA69,(AY69*5+AZ69+BA69))))))))</f>
        <v>27140</v>
      </c>
      <c r="BE69" s="5"/>
      <c r="BF69" s="6"/>
      <c r="BG69" s="5"/>
      <c r="BH69" s="5"/>
      <c r="BI69" s="5"/>
    </row>
    <row r="70" spans="1:61" s="5" customFormat="1">
      <c r="A70" s="159" t="s">
        <v>449</v>
      </c>
      <c r="B70" s="1" t="s">
        <v>14</v>
      </c>
      <c r="C70" s="1" t="s">
        <v>118</v>
      </c>
      <c r="D70" s="36" t="s">
        <v>119</v>
      </c>
      <c r="E70" s="3" t="s">
        <v>153</v>
      </c>
      <c r="F70" s="140">
        <v>1273300</v>
      </c>
      <c r="G70" s="1" t="s">
        <v>18</v>
      </c>
      <c r="H70" s="1" t="s">
        <v>19</v>
      </c>
      <c r="I70" s="1">
        <v>10</v>
      </c>
      <c r="J70" s="1">
        <v>310</v>
      </c>
      <c r="K70" s="1">
        <f>I70*J70</f>
        <v>3100</v>
      </c>
      <c r="L70" s="84" t="s">
        <v>335</v>
      </c>
      <c r="M70" s="84" t="s">
        <v>576</v>
      </c>
      <c r="N70" s="1" t="s">
        <v>20</v>
      </c>
      <c r="O70" s="3" t="s">
        <v>45</v>
      </c>
      <c r="P70" s="4" t="s">
        <v>22</v>
      </c>
      <c r="Q70" s="2" t="s">
        <v>23</v>
      </c>
      <c r="R70" s="144">
        <f>111178-4791</f>
        <v>106387</v>
      </c>
      <c r="S70" s="142">
        <f>100367-2199</f>
        <v>98168</v>
      </c>
      <c r="T70" s="143"/>
      <c r="U70" s="142">
        <f>366+4791</f>
        <v>5157</v>
      </c>
      <c r="V70" s="142">
        <f>414+2199</f>
        <v>2613</v>
      </c>
      <c r="W70" s="142"/>
      <c r="X70" s="144">
        <f>R70+U70</f>
        <v>111544</v>
      </c>
      <c r="Y70" s="142">
        <f>S70+V70</f>
        <v>100781</v>
      </c>
      <c r="Z70" s="143"/>
      <c r="AA70" s="142"/>
      <c r="AB70" s="142"/>
      <c r="AC70" s="142"/>
      <c r="AD70" s="148">
        <v>82510</v>
      </c>
      <c r="AE70" s="149">
        <v>95822</v>
      </c>
      <c r="AF70" s="150"/>
      <c r="AG70" s="149">
        <v>28762</v>
      </c>
      <c r="AH70" s="149">
        <v>11395</v>
      </c>
      <c r="AI70" s="149"/>
      <c r="AJ70" s="148">
        <f>AD70+AG70</f>
        <v>111272</v>
      </c>
      <c r="AK70" s="149">
        <f>AE70+AH70</f>
        <v>107217</v>
      </c>
      <c r="AL70" s="150">
        <f>AF70+AI70</f>
        <v>0</v>
      </c>
      <c r="AM70" s="148">
        <v>26147</v>
      </c>
      <c r="AN70" s="149">
        <v>11098</v>
      </c>
      <c r="AO70" s="150"/>
      <c r="AP70" s="152">
        <f>AVERAGE(R70,AD70)</f>
        <v>94448.5</v>
      </c>
      <c r="AQ70" s="152">
        <f>AVERAGE(S70,AE70)</f>
        <v>96995</v>
      </c>
      <c r="AR70" s="152"/>
      <c r="AS70" s="151">
        <f>AVERAGE(U70,AG70)</f>
        <v>16959.5</v>
      </c>
      <c r="AT70" s="152">
        <f>AVERAGE(V70,AH70)</f>
        <v>7004</v>
      </c>
      <c r="AU70" s="166"/>
      <c r="AV70" s="156">
        <f>AVERAGE(X70,AJ70)</f>
        <v>111408</v>
      </c>
      <c r="AW70" s="156">
        <f>AVERAGE(Y70,AK70)</f>
        <v>103999</v>
      </c>
      <c r="AX70" s="156">
        <f>AVERAGE(Z70,AL70)</f>
        <v>0</v>
      </c>
      <c r="AY70" s="151">
        <f>AVERAGE(AA70,AM70)</f>
        <v>26147</v>
      </c>
      <c r="AZ70" s="152">
        <f>AVERAGE(AB70,AN70)</f>
        <v>11098</v>
      </c>
      <c r="BA70" s="166"/>
      <c r="BB70" s="157">
        <f>IF($O70="M-Sa",(AV70*5)+AW70+AX70,IF($O70="m-su",(AV70*5)+AW70+AX70,IF($O70="M-F",(AV70*5),IF($O70="T-Su",(AV70*4)+AW70+AX70,IF($O70="T-Sa",(AV70*4)+AW70,IF($O70="T-F",(AV70*4),IF($O70="Su-F",(AV70*5)+AW70+AX70,(AV70*5+AW70+AX70))))))))</f>
        <v>661039</v>
      </c>
      <c r="BC70" s="157">
        <f>IF($O70="M-Sa",(BB70/6),IF($O70="m-su",(BB70/7),IF($O70="M-F",(BB70/5),IF($O70="T-Su",(BB70/6),IF($O70="T-Sa",(BB70/5),IF($O70="T-F",(BB70/4),IF($O70="Su-F",(BB70/6),(BB70/7))))))))</f>
        <v>110173.16666666667</v>
      </c>
      <c r="BD70" s="167">
        <f>IF($O70="M-Sa",(AY70*5)+AZ70+BA70,IF($O70="m-su",(AY70*5)+AZ70+BA70,IF($O70="M-F",(AY70*5),IF($O70="T-Su",(AY70*4)+AZ70+BA70,IF($O70="T-Sa",(AY70*4)+AZ70,IF($O70="T-F",(AY70*4),IF($O70="Su-F",(AY70*5)+AZ70+BA70,(AY70*5+AZ70+BA70))))))))</f>
        <v>141833</v>
      </c>
      <c r="BF70" s="6" t="s">
        <v>154</v>
      </c>
    </row>
    <row r="71" spans="1:61" s="5" customFormat="1">
      <c r="A71" s="159" t="s">
        <v>156</v>
      </c>
      <c r="B71" s="1" t="s">
        <v>14</v>
      </c>
      <c r="C71" s="1" t="s">
        <v>118</v>
      </c>
      <c r="D71" s="36" t="s">
        <v>119</v>
      </c>
      <c r="E71" s="3" t="s">
        <v>153</v>
      </c>
      <c r="F71" s="140">
        <v>1273300</v>
      </c>
      <c r="G71" s="1" t="s">
        <v>18</v>
      </c>
      <c r="H71" s="1" t="s">
        <v>26</v>
      </c>
      <c r="I71" s="1">
        <v>10</v>
      </c>
      <c r="J71" s="1">
        <v>160</v>
      </c>
      <c r="K71" s="1">
        <f>I71*J71</f>
        <v>1600</v>
      </c>
      <c r="L71" s="84" t="s">
        <v>334</v>
      </c>
      <c r="M71" s="84" t="s">
        <v>576</v>
      </c>
      <c r="N71" s="1" t="s">
        <v>20</v>
      </c>
      <c r="O71" s="3" t="s">
        <v>21</v>
      </c>
      <c r="P71" s="4" t="s">
        <v>27</v>
      </c>
      <c r="Q71" s="2" t="s">
        <v>28</v>
      </c>
      <c r="R71" s="144"/>
      <c r="S71" s="142"/>
      <c r="T71" s="143"/>
      <c r="U71" s="142"/>
      <c r="V71" s="142"/>
      <c r="W71" s="142"/>
      <c r="X71" s="144"/>
      <c r="Y71" s="142"/>
      <c r="Z71" s="143"/>
      <c r="AA71" s="142"/>
      <c r="AB71" s="142"/>
      <c r="AC71" s="142"/>
      <c r="AD71" s="148"/>
      <c r="AE71" s="149"/>
      <c r="AF71" s="150"/>
      <c r="AG71" s="149"/>
      <c r="AH71" s="149"/>
      <c r="AI71" s="149"/>
      <c r="AJ71" s="148">
        <f>AD71+AG71</f>
        <v>0</v>
      </c>
      <c r="AK71" s="149">
        <f>AE71+AH71</f>
        <v>0</v>
      </c>
      <c r="AL71" s="150">
        <f>AF71+AI71</f>
        <v>0</v>
      </c>
      <c r="AM71" s="148"/>
      <c r="AN71" s="149"/>
      <c r="AO71" s="150"/>
      <c r="AP71" s="152">
        <v>31490</v>
      </c>
      <c r="AQ71" s="152">
        <v>26941</v>
      </c>
      <c r="AR71" s="152">
        <v>29398</v>
      </c>
      <c r="AS71" s="151">
        <v>11221</v>
      </c>
      <c r="AT71" s="152">
        <v>9882</v>
      </c>
      <c r="AU71" s="166">
        <v>9300</v>
      </c>
      <c r="AV71" s="156">
        <f>AP71+AS71</f>
        <v>42711</v>
      </c>
      <c r="AW71" s="156">
        <f>AQ71+AT71</f>
        <v>36823</v>
      </c>
      <c r="AX71" s="156">
        <f>AR71+AU71</f>
        <v>38698</v>
      </c>
      <c r="AY71" s="151">
        <f>1051+3223+1665</f>
        <v>5939</v>
      </c>
      <c r="AZ71" s="152">
        <f>1043+3139+1691</f>
        <v>5873</v>
      </c>
      <c r="BA71" s="166">
        <f>1047+3139+1691</f>
        <v>5877</v>
      </c>
      <c r="BB71" s="157">
        <f>IF($O71="M-Sa",(AV71*5)+AW71+AX71,IF($O71="m-su",(AV71*5)+AW71+AX71,IF($O71="M-F",(AV71*5),IF($O71="T-Su",(AV71*4)+AW71+AX71,IF($O71="T-Sa",(AV71*4)+AW71,IF($O71="T-F",(AV71*4),IF($O71="Su-F",(AV71*5)+AW71+AX71,(AV71*5+AW71+AX71))))))))</f>
        <v>289076</v>
      </c>
      <c r="BC71" s="157">
        <f>IF($O71="M-Sa",(BB71/6),IF($O71="m-su",(BB71/7),IF($O71="M-F",(BB71/5),IF($O71="T-Su",(BB71/6),IF($O71="T-Sa",(BB71/5),IF($O71="T-F",(BB71/4),IF($O71="Su-F",(BB71/6),(BB71/7))))))))</f>
        <v>41296.571428571428</v>
      </c>
      <c r="BD71" s="167">
        <f>IF($O71="M-Sa",(AY71*5)+AZ71+BA71,IF($O71="m-su",(AY71*5)+AZ71+BA71,IF($O71="M-F",(AY71*5),IF($O71="T-Su",(AY71*4)+AZ71+BA71,IF($O71="T-Sa",(AY71*4)+AZ71,IF($O71="T-F",(AY71*4),IF($O71="Su-F",(AY71*5)+AZ71+BA71,(AY71*5+AZ71+BA71))))))))</f>
        <v>41445</v>
      </c>
      <c r="BF71" s="6"/>
    </row>
    <row r="72" spans="1:61" s="5" customFormat="1">
      <c r="A72" s="159" t="s">
        <v>248</v>
      </c>
      <c r="B72" s="1" t="s">
        <v>14</v>
      </c>
      <c r="C72" s="1" t="s">
        <v>118</v>
      </c>
      <c r="D72" s="36" t="s">
        <v>119</v>
      </c>
      <c r="E72" s="3" t="s">
        <v>153</v>
      </c>
      <c r="F72" s="140">
        <v>1273300</v>
      </c>
      <c r="G72" s="1" t="s">
        <v>18</v>
      </c>
      <c r="H72" s="1" t="s">
        <v>26</v>
      </c>
      <c r="I72" s="1">
        <v>6</v>
      </c>
      <c r="J72" s="1">
        <v>175</v>
      </c>
      <c r="K72" s="1">
        <f>I72*J72</f>
        <v>1050</v>
      </c>
      <c r="L72" s="1"/>
      <c r="M72" s="1" t="s">
        <v>577</v>
      </c>
      <c r="N72" s="1" t="s">
        <v>20</v>
      </c>
      <c r="O72" s="3" t="s">
        <v>36</v>
      </c>
      <c r="P72" s="4" t="s">
        <v>218</v>
      </c>
      <c r="Q72" s="2" t="s">
        <v>28</v>
      </c>
      <c r="R72" s="162"/>
      <c r="S72" s="160"/>
      <c r="T72" s="161"/>
      <c r="U72" s="160"/>
      <c r="V72" s="160"/>
      <c r="W72" s="160"/>
      <c r="X72" s="162"/>
      <c r="Y72" s="160"/>
      <c r="Z72" s="161"/>
      <c r="AA72" s="160"/>
      <c r="AB72" s="160"/>
      <c r="AC72" s="160"/>
      <c r="AD72" s="163"/>
      <c r="AE72" s="164"/>
      <c r="AF72" s="165"/>
      <c r="AG72" s="164"/>
      <c r="AH72" s="164"/>
      <c r="AI72" s="164"/>
      <c r="AJ72" s="163"/>
      <c r="AK72" s="164"/>
      <c r="AL72" s="165"/>
      <c r="AM72" s="163"/>
      <c r="AN72" s="164"/>
      <c r="AO72" s="165"/>
      <c r="AP72" s="1"/>
      <c r="AQ72" s="1"/>
      <c r="AR72" s="1"/>
      <c r="AS72" s="151">
        <v>49777</v>
      </c>
      <c r="AT72" s="152"/>
      <c r="AU72" s="166"/>
      <c r="AV72" s="156">
        <f>AP72+AS72</f>
        <v>49777</v>
      </c>
      <c r="AW72" s="156">
        <f>AQ72+AT72</f>
        <v>0</v>
      </c>
      <c r="AX72" s="156"/>
      <c r="AY72" s="36"/>
      <c r="AZ72" s="1"/>
      <c r="BA72" s="37"/>
      <c r="BB72" s="157">
        <f>IF($O72="M-Sa",(AV72*5)+AW72+AX72,IF($O72="m-su",(AV72*5)+AW72+AX72,IF($O72="M-F",(AV72*5),IF($O72="T-Su",(AV72*4)+AW72+AX72,IF($O72="T-Sa",(AV72*4)+AW72,IF($O72="T-F",(AV72*4),IF($O72="Su-F",(AV72*5)+AW72+AX72,(AV72*5+AW72+AX72))))))))</f>
        <v>248885</v>
      </c>
      <c r="BC72" s="157">
        <f>IF($O72="M-Sa",(BB72/6),IF($O72="m-su",(BB72/7),IF($O72="M-F",(BB72/5),IF($O72="T-Su",(BB72/6),IF($O72="T-Sa",(BB72/5),IF($O72="T-F",(BB72/4),IF($O72="Su-F",(BB72/6),(BB72/7))))))))</f>
        <v>49777</v>
      </c>
      <c r="BD72" s="167">
        <f>IF($O72="M-Sa",(AY72*5)+AZ72+BA72,IF($O72="m-su",(AY72*5)+AZ72+BA72,IF($O72="M-F",(AY72*5),IF($O72="T-Su",(AY72*4)+AZ72+BA72,IF($O72="T-Sa",(AY72*4)+AZ72,IF($O72="T-F",(AY72*4),IF($O72="Su-F",(AY72*5)+AZ72+BA72,(AY72*5+AZ72+BA72))))))))</f>
        <v>0</v>
      </c>
      <c r="BE72" s="34"/>
      <c r="BF72" s="3"/>
      <c r="BG72" s="168">
        <v>2005</v>
      </c>
      <c r="BH72" s="35" t="s">
        <v>249</v>
      </c>
    </row>
    <row r="73" spans="1:61" s="16" customFormat="1">
      <c r="A73" s="191" t="s">
        <v>553</v>
      </c>
      <c r="B73" s="14" t="s">
        <v>14</v>
      </c>
      <c r="C73" s="14" t="s">
        <v>118</v>
      </c>
      <c r="D73" s="38" t="s">
        <v>119</v>
      </c>
      <c r="E73" s="17" t="s">
        <v>158</v>
      </c>
      <c r="F73" s="192">
        <v>32092</v>
      </c>
      <c r="G73" s="14" t="s">
        <v>53</v>
      </c>
      <c r="H73" s="14" t="s">
        <v>19</v>
      </c>
      <c r="I73" s="14">
        <v>10</v>
      </c>
      <c r="J73" s="14">
        <v>301</v>
      </c>
      <c r="K73" s="14">
        <f>I73*J73</f>
        <v>3010</v>
      </c>
      <c r="L73" s="204"/>
      <c r="M73" s="84" t="s">
        <v>576</v>
      </c>
      <c r="N73" s="14" t="s">
        <v>35</v>
      </c>
      <c r="O73" s="17" t="s">
        <v>45</v>
      </c>
      <c r="P73" s="18" t="s">
        <v>27</v>
      </c>
      <c r="Q73" s="15" t="s">
        <v>28</v>
      </c>
      <c r="R73" s="199"/>
      <c r="S73" s="200"/>
      <c r="T73" s="201"/>
      <c r="U73" s="200"/>
      <c r="V73" s="200"/>
      <c r="W73" s="200"/>
      <c r="X73" s="199"/>
      <c r="Y73" s="200"/>
      <c r="Z73" s="201"/>
      <c r="AA73" s="200"/>
      <c r="AB73" s="200"/>
      <c r="AC73" s="200"/>
      <c r="AD73" s="199"/>
      <c r="AE73" s="200"/>
      <c r="AF73" s="201"/>
      <c r="AG73" s="200"/>
      <c r="AH73" s="200"/>
      <c r="AI73" s="200"/>
      <c r="AJ73" s="199">
        <f>AD73+AG73</f>
        <v>0</v>
      </c>
      <c r="AK73" s="200">
        <f>AE73+AH73</f>
        <v>0</v>
      </c>
      <c r="AL73" s="201">
        <f>AF73+AI73</f>
        <v>0</v>
      </c>
      <c r="AM73" s="199"/>
      <c r="AN73" s="200"/>
      <c r="AO73" s="201"/>
      <c r="AP73" s="200">
        <f>(12675+12939+12991+13946)/4</f>
        <v>13137.75</v>
      </c>
      <c r="AQ73" s="200">
        <v>13483</v>
      </c>
      <c r="AR73" s="200"/>
      <c r="AS73" s="199"/>
      <c r="AT73" s="200"/>
      <c r="AU73" s="201">
        <v>113253</v>
      </c>
      <c r="AV73" s="202">
        <f>AP73+AS73</f>
        <v>13137.75</v>
      </c>
      <c r="AW73" s="202">
        <f>AQ73+AT73</f>
        <v>13483</v>
      </c>
      <c r="AX73" s="202">
        <f>AR73+AU73</f>
        <v>113253</v>
      </c>
      <c r="AY73" s="199"/>
      <c r="AZ73" s="200"/>
      <c r="BA73" s="201"/>
      <c r="BB73" s="211">
        <f>(AV73*5)+AW73+AX73</f>
        <v>192424.75</v>
      </c>
      <c r="BC73" s="211">
        <f>BB73/6</f>
        <v>32070.791666666668</v>
      </c>
      <c r="BD73" s="212">
        <f>IF($O73="M-Sa",(AY73*5)+AZ73+BA73,IF($O73="m-su",(AY73*5)+AZ73+BA73,IF($O73="M-F",(AY73*5),IF($O73="T-Su",(AY73*4)+AZ73+BA73,IF($O73="T-Sa",(AY73*4)+AZ73,IF($O73="T-F",(AY73*4),IF($O73="Su-F",(AY73*5)+AZ73+BA73,(AY73*5+AZ73+BA73))))))))</f>
        <v>0</v>
      </c>
      <c r="BF73" s="19" t="s">
        <v>152</v>
      </c>
    </row>
    <row r="74" spans="1:61" s="16" customFormat="1">
      <c r="A74" s="191" t="s">
        <v>450</v>
      </c>
      <c r="B74" s="14" t="s">
        <v>14</v>
      </c>
      <c r="C74" s="14" t="s">
        <v>118</v>
      </c>
      <c r="D74" s="38" t="s">
        <v>119</v>
      </c>
      <c r="E74" s="17" t="s">
        <v>160</v>
      </c>
      <c r="F74" s="192">
        <v>24017</v>
      </c>
      <c r="G74" s="14" t="s">
        <v>53</v>
      </c>
      <c r="H74" s="14" t="s">
        <v>19</v>
      </c>
      <c r="I74" s="14">
        <v>10</v>
      </c>
      <c r="J74" s="14">
        <v>301</v>
      </c>
      <c r="K74" s="14">
        <f>I74*J74</f>
        <v>3010</v>
      </c>
      <c r="L74" s="204"/>
      <c r="M74" s="84" t="s">
        <v>576</v>
      </c>
      <c r="N74" s="14" t="s">
        <v>35</v>
      </c>
      <c r="O74" s="17" t="s">
        <v>127</v>
      </c>
      <c r="P74" s="18" t="s">
        <v>27</v>
      </c>
      <c r="Q74" s="15" t="s">
        <v>28</v>
      </c>
      <c r="R74" s="199"/>
      <c r="S74" s="200"/>
      <c r="T74" s="201"/>
      <c r="U74" s="200"/>
      <c r="V74" s="200"/>
      <c r="W74" s="200"/>
      <c r="X74" s="199"/>
      <c r="Y74" s="200"/>
      <c r="Z74" s="201"/>
      <c r="AA74" s="200"/>
      <c r="AB74" s="200"/>
      <c r="AC74" s="200"/>
      <c r="AD74" s="199"/>
      <c r="AE74" s="200"/>
      <c r="AF74" s="201"/>
      <c r="AG74" s="200"/>
      <c r="AH74" s="200"/>
      <c r="AI74" s="200"/>
      <c r="AJ74" s="199">
        <f>AD74+AG74</f>
        <v>0</v>
      </c>
      <c r="AK74" s="200">
        <f>AE74+AH74</f>
        <v>0</v>
      </c>
      <c r="AL74" s="201">
        <f>AF74+AI74</f>
        <v>0</v>
      </c>
      <c r="AM74" s="199"/>
      <c r="AN74" s="200"/>
      <c r="AO74" s="201"/>
      <c r="AP74" s="200">
        <v>4698</v>
      </c>
      <c r="AQ74" s="200">
        <v>4992</v>
      </c>
      <c r="AR74" s="200"/>
      <c r="AS74" s="199"/>
      <c r="AT74" s="200"/>
      <c r="AU74" s="201"/>
      <c r="AV74" s="202">
        <f>AP74+AS74</f>
        <v>4698</v>
      </c>
      <c r="AW74" s="202">
        <f>AQ74+AT74</f>
        <v>4992</v>
      </c>
      <c r="AX74" s="202">
        <f>AR74+AU74</f>
        <v>0</v>
      </c>
      <c r="AY74" s="199"/>
      <c r="AZ74" s="200"/>
      <c r="BA74" s="201"/>
      <c r="BB74" s="211">
        <f>IF($O74="M-Sa",(AV74*5)+AW74+AX74,IF($O74="m-su",(AV74*5)+AW74+AX74,IF($O74="M-F",(AV74*5),IF($O74="T-Su",(AV74*4)+AW74+AX74,IF($O74="T-Sa",(AV74*4)+AW74,IF($O74="T-F",(AV74*4),IF($O74="Su-F",(AV74*5)+AW74+AX74,(AV74*5+AW74+AX74))))))))</f>
        <v>23784</v>
      </c>
      <c r="BC74" s="211">
        <f>IF($O74="M-Sa",(BB74/6),IF($O74="m-su",(BB74/7),IF($O74="M-F",(BB74/5),IF($O74="T-Su",(BB74/6),IF($O74="T-Sa",(BB74/5),IF($O74="T-F",(BB74/4),IF($O74="Su-F",(BB74/6),(BB74/7))))))))</f>
        <v>4756.8</v>
      </c>
      <c r="BD74" s="212">
        <f>IF($O74="M-Sa",(AY74*5)+AZ74+BA74,IF($O74="m-su",(AY74*5)+AZ74+BA74,IF($O74="M-F",(AY74*5),IF($O74="T-Su",(AY74*4)+AZ74+BA74,IF($O74="T-Sa",(AY74*4)+AZ74,IF($O74="T-F",(AY74*4),IF($O74="Su-F",(AY74*5)+AZ74+BA74,(AY74*5+AZ74+BA74))))))))</f>
        <v>0</v>
      </c>
      <c r="BF74" s="19" t="s">
        <v>121</v>
      </c>
      <c r="BH74" s="23" t="s">
        <v>161</v>
      </c>
    </row>
    <row r="75" spans="1:61" s="16" customFormat="1">
      <c r="A75" s="159" t="s">
        <v>162</v>
      </c>
      <c r="B75" s="1" t="s">
        <v>14</v>
      </c>
      <c r="C75" s="1" t="s">
        <v>118</v>
      </c>
      <c r="D75" s="36" t="s">
        <v>119</v>
      </c>
      <c r="E75" s="3" t="s">
        <v>163</v>
      </c>
      <c r="F75" s="140">
        <v>122400</v>
      </c>
      <c r="G75" s="1" t="s">
        <v>41</v>
      </c>
      <c r="H75" s="1" t="s">
        <v>19</v>
      </c>
      <c r="I75" s="1">
        <v>10</v>
      </c>
      <c r="J75" s="1">
        <v>287</v>
      </c>
      <c r="K75" s="1">
        <f>I75*J75</f>
        <v>2870</v>
      </c>
      <c r="L75" s="84"/>
      <c r="M75" s="84" t="s">
        <v>576</v>
      </c>
      <c r="N75" s="1" t="s">
        <v>35</v>
      </c>
      <c r="O75" s="3" t="s">
        <v>45</v>
      </c>
      <c r="P75" s="4" t="s">
        <v>27</v>
      </c>
      <c r="Q75" s="2" t="s">
        <v>28</v>
      </c>
      <c r="R75" s="144"/>
      <c r="S75" s="142"/>
      <c r="T75" s="143"/>
      <c r="U75" s="142"/>
      <c r="V75" s="142"/>
      <c r="W75" s="142"/>
      <c r="X75" s="144"/>
      <c r="Y75" s="142"/>
      <c r="Z75" s="143"/>
      <c r="AA75" s="142"/>
      <c r="AB75" s="142"/>
      <c r="AC75" s="142"/>
      <c r="AD75" s="148"/>
      <c r="AE75" s="149"/>
      <c r="AF75" s="150"/>
      <c r="AG75" s="149"/>
      <c r="AH75" s="149"/>
      <c r="AI75" s="149"/>
      <c r="AJ75" s="148">
        <f>AD75+AG75</f>
        <v>0</v>
      </c>
      <c r="AK75" s="149">
        <f>AE75+AH75</f>
        <v>0</v>
      </c>
      <c r="AL75" s="150">
        <f>AF75+AI75</f>
        <v>0</v>
      </c>
      <c r="AM75" s="148"/>
      <c r="AN75" s="149"/>
      <c r="AO75" s="150"/>
      <c r="AP75" s="152">
        <v>10504</v>
      </c>
      <c r="AQ75" s="152">
        <v>10936</v>
      </c>
      <c r="AR75" s="152"/>
      <c r="AS75" s="151">
        <v>7958</v>
      </c>
      <c r="AT75" s="152">
        <v>711</v>
      </c>
      <c r="AU75" s="166"/>
      <c r="AV75" s="156">
        <f>AP75+AS75</f>
        <v>18462</v>
      </c>
      <c r="AW75" s="156">
        <f>AQ75+AT75</f>
        <v>11647</v>
      </c>
      <c r="AX75" s="156">
        <f>AR75+AU75</f>
        <v>0</v>
      </c>
      <c r="AY75" s="151">
        <f>351+234+23</f>
        <v>608</v>
      </c>
      <c r="AZ75" s="152">
        <f>365+244+25</f>
        <v>634</v>
      </c>
      <c r="BA75" s="166"/>
      <c r="BB75" s="157">
        <f>IF($O75="M-Sa",(AV75*5)+AW75+AX75,IF($O75="m-su",(AV75*5)+AW75+AX75,IF($O75="M-F",(AV75*5),IF($O75="T-Su",(AV75*4)+AW75+AX75,IF($O75="T-Sa",(AV75*4)+AW75,IF($O75="T-F",(AV75*4),IF($O75="Su-F",(AV75*5)+AW75+AX75,(AV75*5+AW75+AX75))))))))</f>
        <v>103957</v>
      </c>
      <c r="BC75" s="157">
        <f>IF($O75="M-Sa",(BB75/6),IF($O75="m-su",(BB75/7),IF($O75="M-F",(BB75/5),IF($O75="T-Su",(BB75/6),IF($O75="T-Sa",(BB75/5),IF($O75="T-F",(BB75/4),IF($O75="Su-F",(BB75/6),(BB75/7))))))))</f>
        <v>17326.166666666668</v>
      </c>
      <c r="BD75" s="167">
        <f>IF($O75="M-Sa",(AY75*5)+AZ75+BA75,IF($O75="m-su",(AY75*5)+AZ75+BA75,IF($O75="M-F",(AY75*5),IF($O75="T-Su",(AY75*4)+AZ75+BA75,IF($O75="T-Sa",(AY75*4)+AZ75,IF($O75="T-F",(AY75*4),IF($O75="Su-F",(AY75*5)+AZ75+BA75,(AY75*5+AZ75+BA75))))))))</f>
        <v>3674</v>
      </c>
      <c r="BE75" s="5"/>
      <c r="BF75" s="6"/>
      <c r="BG75" s="5"/>
      <c r="BH75" s="5"/>
      <c r="BI75" s="5"/>
    </row>
    <row r="76" spans="1:61" s="8" customFormat="1">
      <c r="A76" s="159" t="s">
        <v>451</v>
      </c>
      <c r="B76" s="1" t="s">
        <v>14</v>
      </c>
      <c r="C76" s="1" t="s">
        <v>118</v>
      </c>
      <c r="D76" s="36" t="s">
        <v>119</v>
      </c>
      <c r="E76" s="3" t="s">
        <v>164</v>
      </c>
      <c r="F76" s="140">
        <v>89555</v>
      </c>
      <c r="G76" s="1" t="s">
        <v>34</v>
      </c>
      <c r="H76" s="1" t="s">
        <v>19</v>
      </c>
      <c r="I76" s="1">
        <v>10</v>
      </c>
      <c r="J76" s="1">
        <v>301</v>
      </c>
      <c r="K76" s="1">
        <f>I76*J76</f>
        <v>3010</v>
      </c>
      <c r="L76" s="84"/>
      <c r="M76" s="84" t="s">
        <v>576</v>
      </c>
      <c r="N76" s="1" t="s">
        <v>35</v>
      </c>
      <c r="O76" s="3" t="s">
        <v>45</v>
      </c>
      <c r="P76" s="4" t="s">
        <v>27</v>
      </c>
      <c r="Q76" s="2" t="s">
        <v>28</v>
      </c>
      <c r="R76" s="144"/>
      <c r="S76" s="142"/>
      <c r="T76" s="143"/>
      <c r="U76" s="142"/>
      <c r="V76" s="142"/>
      <c r="W76" s="142"/>
      <c r="X76" s="144"/>
      <c r="Y76" s="142"/>
      <c r="Z76" s="143"/>
      <c r="AA76" s="142"/>
      <c r="AB76" s="142"/>
      <c r="AC76" s="142"/>
      <c r="AD76" s="148"/>
      <c r="AE76" s="149"/>
      <c r="AF76" s="150"/>
      <c r="AG76" s="149"/>
      <c r="AH76" s="149"/>
      <c r="AI76" s="149"/>
      <c r="AJ76" s="148">
        <f>AD76+AG76</f>
        <v>0</v>
      </c>
      <c r="AK76" s="149">
        <f>AE76+AH76</f>
        <v>0</v>
      </c>
      <c r="AL76" s="150">
        <f>AF76+AI76</f>
        <v>0</v>
      </c>
      <c r="AM76" s="148"/>
      <c r="AN76" s="149"/>
      <c r="AO76" s="150"/>
      <c r="AP76" s="152">
        <v>10501</v>
      </c>
      <c r="AQ76" s="152">
        <v>11499</v>
      </c>
      <c r="AR76" s="152"/>
      <c r="AS76" s="151">
        <v>118</v>
      </c>
      <c r="AT76" s="152">
        <v>112</v>
      </c>
      <c r="AU76" s="166"/>
      <c r="AV76" s="156">
        <f>AP76+AS76</f>
        <v>10619</v>
      </c>
      <c r="AW76" s="156">
        <f>AQ76+AT76</f>
        <v>11611</v>
      </c>
      <c r="AX76" s="156">
        <f>AR76+AU76</f>
        <v>0</v>
      </c>
      <c r="AY76" s="151">
        <v>292</v>
      </c>
      <c r="AZ76" s="152">
        <v>293</v>
      </c>
      <c r="BA76" s="166"/>
      <c r="BB76" s="157">
        <f>IF($O76="M-Sa",(AV76*5)+AW76+AX76,IF($O76="m-su",(AV76*5)+AW76+AX76,IF($O76="M-F",(AV76*5),IF($O76="T-Su",(AV76*4)+AW76+AX76,IF($O76="T-Sa",(AV76*4)+AW76,IF($O76="T-F",(AV76*4),IF($O76="Su-F",(AV76*5)+AW76+AX76,(AV76*5+AW76+AX76))))))))</f>
        <v>64706</v>
      </c>
      <c r="BC76" s="157">
        <f>IF($O76="M-Sa",(BB76/6),IF($O76="m-su",(BB76/7),IF($O76="M-F",(BB76/5),IF($O76="T-Su",(BB76/6),IF($O76="T-Sa",(BB76/5),IF($O76="T-F",(BB76/4),IF($O76="Su-F",(BB76/6),(BB76/7))))))))</f>
        <v>10784.333333333334</v>
      </c>
      <c r="BD76" s="167">
        <f>IF($O76="M-Sa",(AY76*5)+AZ76+BA76,IF($O76="m-su",(AY76*5)+AZ76+BA76,IF($O76="M-F",(AY76*5),IF($O76="T-Su",(AY76*4)+AZ76+BA76,IF($O76="T-Sa",(AY76*4)+AZ76,IF($O76="T-F",(AY76*4),IF($O76="Su-F",(AY76*5)+AZ76+BA76,(AY76*5+AZ76+BA76))))))))</f>
        <v>1753</v>
      </c>
      <c r="BE76" s="5"/>
      <c r="BF76" s="6"/>
      <c r="BG76" s="5"/>
      <c r="BH76" s="5"/>
      <c r="BI76" s="5"/>
    </row>
    <row r="77" spans="1:61" s="16" customFormat="1">
      <c r="A77" s="159" t="s">
        <v>452</v>
      </c>
      <c r="B77" s="1" t="s">
        <v>14</v>
      </c>
      <c r="C77" s="1" t="s">
        <v>118</v>
      </c>
      <c r="D77" s="36" t="s">
        <v>119</v>
      </c>
      <c r="E77" s="3" t="s">
        <v>165</v>
      </c>
      <c r="F77" s="140">
        <v>79800</v>
      </c>
      <c r="G77" s="1" t="s">
        <v>34</v>
      </c>
      <c r="H77" s="1" t="s">
        <v>19</v>
      </c>
      <c r="I77" s="1">
        <v>10</v>
      </c>
      <c r="J77" s="1">
        <v>301</v>
      </c>
      <c r="K77" s="1">
        <f>I77*J77</f>
        <v>3010</v>
      </c>
      <c r="L77" s="84"/>
      <c r="M77" s="84" t="s">
        <v>576</v>
      </c>
      <c r="N77" s="1" t="s">
        <v>35</v>
      </c>
      <c r="O77" s="3" t="s">
        <v>45</v>
      </c>
      <c r="P77" s="4" t="s">
        <v>27</v>
      </c>
      <c r="Q77" s="2" t="s">
        <v>28</v>
      </c>
      <c r="R77" s="144"/>
      <c r="S77" s="142"/>
      <c r="T77" s="143"/>
      <c r="U77" s="142"/>
      <c r="V77" s="142"/>
      <c r="W77" s="142"/>
      <c r="X77" s="144"/>
      <c r="Y77" s="142"/>
      <c r="Z77" s="143"/>
      <c r="AA77" s="142"/>
      <c r="AB77" s="142"/>
      <c r="AC77" s="142"/>
      <c r="AD77" s="148"/>
      <c r="AE77" s="149"/>
      <c r="AF77" s="150"/>
      <c r="AG77" s="149"/>
      <c r="AH77" s="149"/>
      <c r="AI77" s="149"/>
      <c r="AJ77" s="148">
        <f>AD77+AG77</f>
        <v>0</v>
      </c>
      <c r="AK77" s="149">
        <f>AE77+AH77</f>
        <v>0</v>
      </c>
      <c r="AL77" s="150">
        <f>AF77+AI77</f>
        <v>0</v>
      </c>
      <c r="AM77" s="148"/>
      <c r="AN77" s="149"/>
      <c r="AO77" s="150"/>
      <c r="AP77" s="152">
        <v>11174</v>
      </c>
      <c r="AQ77" s="152">
        <v>11277</v>
      </c>
      <c r="AR77" s="152"/>
      <c r="AS77" s="151">
        <v>4102</v>
      </c>
      <c r="AT77" s="152">
        <v>570</v>
      </c>
      <c r="AU77" s="166"/>
      <c r="AV77" s="156">
        <f>AP77+AS77</f>
        <v>15276</v>
      </c>
      <c r="AW77" s="156">
        <f>AQ77+AT77</f>
        <v>11847</v>
      </c>
      <c r="AX77" s="156">
        <f>AR77+AU77</f>
        <v>0</v>
      </c>
      <c r="AY77" s="151">
        <f>150+89+20</f>
        <v>259</v>
      </c>
      <c r="AZ77" s="152">
        <f>139+82+21</f>
        <v>242</v>
      </c>
      <c r="BA77" s="166"/>
      <c r="BB77" s="157">
        <f>IF($O77="M-Sa",(AV77*5)+AW77+AX77,IF($O77="m-su",(AV77*5)+AW77+AX77,IF($O77="M-F",(AV77*5),IF($O77="T-Su",(AV77*4)+AW77+AX77,IF($O77="T-Sa",(AV77*4)+AW77,IF($O77="T-F",(AV77*4),IF($O77="Su-F",(AV77*5)+AW77+AX77,(AV77*5+AW77+AX77))))))))</f>
        <v>88227</v>
      </c>
      <c r="BC77" s="157">
        <f>IF($O77="M-Sa",(BB77/6),IF($O77="m-su",(BB77/7),IF($O77="M-F",(BB77/5),IF($O77="T-Su",(BB77/6),IF($O77="T-Sa",(BB77/5),IF($O77="T-F",(BB77/4),IF($O77="Su-F",(BB77/6),(BB77/7))))))))</f>
        <v>14704.5</v>
      </c>
      <c r="BD77" s="167">
        <f>IF($O77="M-Sa",(AY77*5)+AZ77+BA77,IF($O77="m-su",(AY77*5)+AZ77+BA77,IF($O77="M-F",(AY77*5),IF($O77="T-Su",(AY77*4)+AZ77+BA77,IF($O77="T-Sa",(AY77*4)+AZ77,IF($O77="T-F",(AY77*4),IF($O77="Su-F",(AY77*5)+AZ77+BA77,(AY77*5+AZ77+BA77))))))))</f>
        <v>1537</v>
      </c>
      <c r="BE77" s="5"/>
      <c r="BF77" s="6"/>
      <c r="BG77" s="5"/>
      <c r="BH77" s="5"/>
      <c r="BI77" s="5"/>
    </row>
    <row r="78" spans="1:61" s="16" customFormat="1">
      <c r="A78" s="191" t="s">
        <v>554</v>
      </c>
      <c r="B78" s="14" t="s">
        <v>14</v>
      </c>
      <c r="C78" s="14" t="s">
        <v>118</v>
      </c>
      <c r="D78" s="38" t="s">
        <v>119</v>
      </c>
      <c r="E78" s="17" t="s">
        <v>167</v>
      </c>
      <c r="F78" s="192">
        <v>14777</v>
      </c>
      <c r="G78" s="14" t="s">
        <v>53</v>
      </c>
      <c r="H78" s="14" t="s">
        <v>19</v>
      </c>
      <c r="I78" s="14">
        <v>10</v>
      </c>
      <c r="J78" s="14">
        <v>301</v>
      </c>
      <c r="K78" s="14">
        <f>I78*J78</f>
        <v>3010</v>
      </c>
      <c r="L78" s="204"/>
      <c r="M78" s="84" t="s">
        <v>576</v>
      </c>
      <c r="N78" s="14" t="s">
        <v>35</v>
      </c>
      <c r="O78" s="17" t="s">
        <v>45</v>
      </c>
      <c r="P78" s="18" t="s">
        <v>27</v>
      </c>
      <c r="Q78" s="15" t="s">
        <v>28</v>
      </c>
      <c r="R78" s="199"/>
      <c r="S78" s="200"/>
      <c r="T78" s="201"/>
      <c r="U78" s="200"/>
      <c r="V78" s="200"/>
      <c r="W78" s="200"/>
      <c r="X78" s="199"/>
      <c r="Y78" s="200"/>
      <c r="Z78" s="201"/>
      <c r="AA78" s="200"/>
      <c r="AB78" s="200"/>
      <c r="AC78" s="200"/>
      <c r="AD78" s="199"/>
      <c r="AE78" s="200"/>
      <c r="AF78" s="201"/>
      <c r="AG78" s="200"/>
      <c r="AH78" s="200"/>
      <c r="AI78" s="200"/>
      <c r="AJ78" s="199">
        <f>AD78+AG78</f>
        <v>0</v>
      </c>
      <c r="AK78" s="200">
        <f>AE78+AH78</f>
        <v>0</v>
      </c>
      <c r="AL78" s="201">
        <f>AF78+AI78</f>
        <v>0</v>
      </c>
      <c r="AM78" s="199"/>
      <c r="AN78" s="200"/>
      <c r="AO78" s="201"/>
      <c r="AP78" s="200">
        <v>9125</v>
      </c>
      <c r="AQ78" s="200">
        <v>9125</v>
      </c>
      <c r="AR78" s="200"/>
      <c r="AS78" s="199"/>
      <c r="AT78" s="200"/>
      <c r="AU78" s="201">
        <v>19973</v>
      </c>
      <c r="AV78" s="202">
        <f>AP78+AS78</f>
        <v>9125</v>
      </c>
      <c r="AW78" s="202">
        <f>AQ78+AT78</f>
        <v>9125</v>
      </c>
      <c r="AX78" s="202">
        <f>AR78+AU78</f>
        <v>19973</v>
      </c>
      <c r="AY78" s="199"/>
      <c r="AZ78" s="200"/>
      <c r="BA78" s="201"/>
      <c r="BB78" s="211">
        <f>(AV78*4)+AW78+AX78</f>
        <v>65598</v>
      </c>
      <c r="BC78" s="211">
        <f>BB78/6</f>
        <v>10933</v>
      </c>
      <c r="BD78" s="212">
        <f>IF($O78="M-Sa",(AY78*5)+AZ78+BA78,IF($O78="m-su",(AY78*5)+AZ78+BA78,IF($O78="M-F",(AY78*5),IF($O78="T-Su",(AY78*4)+AZ78+BA78,IF($O78="T-Sa",(AY78*4)+AZ78,IF($O78="T-F",(AY78*4),IF($O78="Su-F",(AY78*5)+AZ78+BA78,(AY78*5+AZ78+BA78))))))))</f>
        <v>0</v>
      </c>
      <c r="BF78" s="19" t="s">
        <v>152</v>
      </c>
    </row>
    <row r="79" spans="1:61" s="8" customFormat="1">
      <c r="A79" s="159" t="s">
        <v>453</v>
      </c>
      <c r="B79" s="1" t="s">
        <v>14</v>
      </c>
      <c r="C79" s="1" t="s">
        <v>118</v>
      </c>
      <c r="D79" s="36" t="s">
        <v>119</v>
      </c>
      <c r="E79" s="3" t="s">
        <v>168</v>
      </c>
      <c r="F79" s="140">
        <v>405800</v>
      </c>
      <c r="G79" s="1" t="s">
        <v>41</v>
      </c>
      <c r="H79" s="1" t="s">
        <v>19</v>
      </c>
      <c r="I79" s="1">
        <v>10</v>
      </c>
      <c r="J79" s="1">
        <v>301</v>
      </c>
      <c r="K79" s="1">
        <f>I79*J79</f>
        <v>3010</v>
      </c>
      <c r="L79" s="84"/>
      <c r="M79" s="84" t="s">
        <v>576</v>
      </c>
      <c r="N79" s="1" t="s">
        <v>35</v>
      </c>
      <c r="O79" s="3" t="s">
        <v>45</v>
      </c>
      <c r="P79" s="4" t="s">
        <v>27</v>
      </c>
      <c r="Q79" s="2" t="s">
        <v>28</v>
      </c>
      <c r="R79" s="144"/>
      <c r="S79" s="142"/>
      <c r="T79" s="143"/>
      <c r="U79" s="142"/>
      <c r="V79" s="142"/>
      <c r="W79" s="142"/>
      <c r="X79" s="144"/>
      <c r="Y79" s="142"/>
      <c r="Z79" s="143"/>
      <c r="AA79" s="142"/>
      <c r="AB79" s="142"/>
      <c r="AC79" s="142"/>
      <c r="AD79" s="148"/>
      <c r="AE79" s="149"/>
      <c r="AF79" s="150"/>
      <c r="AG79" s="149"/>
      <c r="AH79" s="149"/>
      <c r="AI79" s="149"/>
      <c r="AJ79" s="148">
        <f>AD79+AG79</f>
        <v>0</v>
      </c>
      <c r="AK79" s="149">
        <f>AE79+AH79</f>
        <v>0</v>
      </c>
      <c r="AL79" s="150">
        <f>AF79+AI79</f>
        <v>0</v>
      </c>
      <c r="AM79" s="148"/>
      <c r="AN79" s="149"/>
      <c r="AO79" s="150"/>
      <c r="AP79" s="152">
        <v>15209</v>
      </c>
      <c r="AQ79" s="152">
        <v>16552</v>
      </c>
      <c r="AR79" s="152"/>
      <c r="AS79" s="151">
        <v>18682</v>
      </c>
      <c r="AT79" s="152">
        <v>8645</v>
      </c>
      <c r="AU79" s="166"/>
      <c r="AV79" s="156">
        <f>AP79+AS79</f>
        <v>33891</v>
      </c>
      <c r="AW79" s="156">
        <f>AQ79+AT79</f>
        <v>25197</v>
      </c>
      <c r="AX79" s="156">
        <f>AR79+AU79</f>
        <v>0</v>
      </c>
      <c r="AY79" s="151">
        <f>353+447+8257</f>
        <v>9057</v>
      </c>
      <c r="AZ79" s="152">
        <f>353+447+8061</f>
        <v>8861</v>
      </c>
      <c r="BA79" s="166"/>
      <c r="BB79" s="157">
        <f>IF($O79="M-Sa",(AV79*5)+AW79+AX79,IF($O79="m-su",(AV79*5)+AW79+AX79,IF($O79="M-F",(AV79*5),IF($O79="T-Su",(AV79*4)+AW79+AX79,IF($O79="T-Sa",(AV79*4)+AW79,IF($O79="T-F",(AV79*4),IF($O79="Su-F",(AV79*5)+AW79+AX79,(AV79*5+AW79+AX79))))))))</f>
        <v>194652</v>
      </c>
      <c r="BC79" s="157">
        <f>IF($O79="M-Sa",(BB79/6),IF($O79="m-su",(BB79/7),IF($O79="M-F",(BB79/5),IF($O79="T-Su",(BB79/6),IF($O79="T-Sa",(BB79/5),IF($O79="T-F",(BB79/4),IF($O79="Su-F",(BB79/6),(BB79/7))))))))</f>
        <v>32442</v>
      </c>
      <c r="BD79" s="167">
        <f>IF($O79="M-Sa",(AY79*5)+AZ79+BA79,IF($O79="m-su",(AY79*5)+AZ79+BA79,IF($O79="M-F",(AY79*5),IF($O79="T-Su",(AY79*4)+AZ79+BA79,IF($O79="T-Sa",(AY79*4)+AZ79,IF($O79="T-F",(AY79*4),IF($O79="Su-F",(AY79*5)+AZ79+BA79,(AY79*5+AZ79+BA79))))))))</f>
        <v>54146</v>
      </c>
      <c r="BE79" s="5"/>
      <c r="BF79" s="6"/>
      <c r="BG79" s="5"/>
      <c r="BH79" s="5"/>
      <c r="BI79" s="5"/>
    </row>
    <row r="80" spans="1:61" s="5" customFormat="1">
      <c r="A80" s="191" t="s">
        <v>169</v>
      </c>
      <c r="B80" s="14" t="s">
        <v>14</v>
      </c>
      <c r="C80" s="14" t="s">
        <v>118</v>
      </c>
      <c r="D80" s="38" t="s">
        <v>119</v>
      </c>
      <c r="E80" s="17" t="s">
        <v>170</v>
      </c>
      <c r="F80" s="192">
        <v>41688</v>
      </c>
      <c r="G80" s="14" t="s">
        <v>53</v>
      </c>
      <c r="H80" s="14" t="s">
        <v>26</v>
      </c>
      <c r="I80" s="14">
        <v>9</v>
      </c>
      <c r="J80" s="14">
        <v>160</v>
      </c>
      <c r="K80" s="14">
        <f>I80*J80</f>
        <v>1440</v>
      </c>
      <c r="L80" s="204"/>
      <c r="M80" s="84" t="s">
        <v>576</v>
      </c>
      <c r="N80" s="14" t="s">
        <v>35</v>
      </c>
      <c r="O80" s="17" t="s">
        <v>127</v>
      </c>
      <c r="P80" s="18" t="s">
        <v>27</v>
      </c>
      <c r="Q80" s="15" t="s">
        <v>28</v>
      </c>
      <c r="R80" s="207"/>
      <c r="S80" s="205"/>
      <c r="T80" s="206"/>
      <c r="U80" s="205"/>
      <c r="V80" s="205"/>
      <c r="W80" s="205"/>
      <c r="X80" s="207"/>
      <c r="Y80" s="205"/>
      <c r="Z80" s="206"/>
      <c r="AA80" s="205"/>
      <c r="AB80" s="205"/>
      <c r="AC80" s="205"/>
      <c r="AD80" s="208"/>
      <c r="AE80" s="209"/>
      <c r="AF80" s="210"/>
      <c r="AG80" s="209"/>
      <c r="AH80" s="209"/>
      <c r="AI80" s="209"/>
      <c r="AJ80" s="208">
        <f>AD80+AG80</f>
        <v>0</v>
      </c>
      <c r="AK80" s="209">
        <f>AE80+AH80</f>
        <v>0</v>
      </c>
      <c r="AL80" s="210">
        <f>AF80+AI80</f>
        <v>0</v>
      </c>
      <c r="AM80" s="208"/>
      <c r="AN80" s="209"/>
      <c r="AO80" s="210"/>
      <c r="AP80" s="200">
        <v>4628</v>
      </c>
      <c r="AQ80" s="200">
        <v>4818</v>
      </c>
      <c r="AR80" s="200"/>
      <c r="AS80" s="199"/>
      <c r="AT80" s="200"/>
      <c r="AU80" s="201"/>
      <c r="AV80" s="202">
        <f>AP80+AS80</f>
        <v>4628</v>
      </c>
      <c r="AW80" s="202">
        <f>AQ80+AT80</f>
        <v>4818</v>
      </c>
      <c r="AX80" s="202">
        <f>AR80+AU80</f>
        <v>0</v>
      </c>
      <c r="AY80" s="199"/>
      <c r="AZ80" s="200"/>
      <c r="BA80" s="201"/>
      <c r="BB80" s="211">
        <f>IF($O80="M-Sa",(AV80*5)+AW80+AX80,IF($O80="m-su",(AV80*5)+AW80+AX80,IF($O80="M-F",(AV80*5),IF($O80="T-Su",(AV80*4)+AW80+AX80,IF($O80="T-Sa",(AV80*4)+AW80,IF($O80="T-F",(AV80*4),IF($O80="Su-F",(AV80*5)+AW80+AX80,(AV80*5+AW80+AX80))))))))</f>
        <v>23330</v>
      </c>
      <c r="BC80" s="211">
        <f>IF($O80="M-Sa",(BB80/6),IF($O80="m-su",(BB80/7),IF($O80="M-F",(BB80/5),IF($O80="T-Su",(BB80/6),IF($O80="T-Sa",(BB80/5),IF($O80="T-F",(BB80/4),IF($O80="Su-F",(BB80/6),(BB80/7))))))))</f>
        <v>4666</v>
      </c>
      <c r="BD80" s="212">
        <f>IF($O80="M-Sa",(AY80*5)+AZ80+BA80,IF($O80="m-su",(AY80*5)+AZ80+BA80,IF($O80="M-F",(AY80*5),IF($O80="T-Su",(AY80*4)+AZ80+BA80,IF($O80="T-Sa",(AY80*4)+AZ80,IF($O80="T-F",(AY80*4),IF($O80="Su-F",(AY80*5)+AZ80+BA80,(AY80*5+AZ80+BA80))))))))</f>
        <v>0</v>
      </c>
      <c r="BE80" s="16"/>
      <c r="BF80" s="19" t="s">
        <v>152</v>
      </c>
      <c r="BG80" s="16"/>
      <c r="BH80" s="16"/>
      <c r="BI80" s="16"/>
    </row>
    <row r="81" spans="1:61" s="8" customFormat="1">
      <c r="A81" s="159" t="s">
        <v>454</v>
      </c>
      <c r="B81" s="1" t="s">
        <v>14</v>
      </c>
      <c r="C81" s="1" t="s">
        <v>118</v>
      </c>
      <c r="D81" s="36" t="s">
        <v>119</v>
      </c>
      <c r="E81" s="3" t="s">
        <v>171</v>
      </c>
      <c r="F81" s="140">
        <v>30886</v>
      </c>
      <c r="G81" s="1" t="s">
        <v>53</v>
      </c>
      <c r="H81" s="1" t="s">
        <v>19</v>
      </c>
      <c r="I81" s="1">
        <v>10</v>
      </c>
      <c r="J81" s="1">
        <v>300</v>
      </c>
      <c r="K81" s="1">
        <f>I81*J81</f>
        <v>3000</v>
      </c>
      <c r="L81" s="84"/>
      <c r="M81" s="84" t="s">
        <v>576</v>
      </c>
      <c r="N81" s="1" t="s">
        <v>35</v>
      </c>
      <c r="O81" s="3" t="s">
        <v>45</v>
      </c>
      <c r="P81" s="4" t="s">
        <v>27</v>
      </c>
      <c r="Q81" s="2" t="s">
        <v>64</v>
      </c>
      <c r="R81" s="144"/>
      <c r="S81" s="142"/>
      <c r="T81" s="143"/>
      <c r="U81" s="142"/>
      <c r="V81" s="142"/>
      <c r="W81" s="142"/>
      <c r="X81" s="144"/>
      <c r="Y81" s="142"/>
      <c r="Z81" s="143"/>
      <c r="AA81" s="142"/>
      <c r="AB81" s="142"/>
      <c r="AC81" s="142"/>
      <c r="AD81" s="148"/>
      <c r="AE81" s="149"/>
      <c r="AF81" s="150"/>
      <c r="AG81" s="149"/>
      <c r="AH81" s="149"/>
      <c r="AI81" s="149"/>
      <c r="AJ81" s="148">
        <f>AD81+AG81</f>
        <v>0</v>
      </c>
      <c r="AK81" s="149">
        <f>AE81+AH81</f>
        <v>0</v>
      </c>
      <c r="AL81" s="150">
        <f>AF81+AI81</f>
        <v>0</v>
      </c>
      <c r="AM81" s="148"/>
      <c r="AN81" s="149"/>
      <c r="AO81" s="150"/>
      <c r="AP81" s="152">
        <v>6444</v>
      </c>
      <c r="AQ81" s="152">
        <v>6444</v>
      </c>
      <c r="AR81" s="152">
        <v>0</v>
      </c>
      <c r="AS81" s="151">
        <v>236</v>
      </c>
      <c r="AT81" s="152">
        <v>236</v>
      </c>
      <c r="AU81" s="166">
        <v>0</v>
      </c>
      <c r="AV81" s="156">
        <f>AP81+AS81</f>
        <v>6680</v>
      </c>
      <c r="AW81" s="156">
        <f>AQ81+AT81</f>
        <v>6680</v>
      </c>
      <c r="AX81" s="156">
        <f>AR81+AU81</f>
        <v>0</v>
      </c>
      <c r="AY81" s="151">
        <v>214</v>
      </c>
      <c r="AZ81" s="152">
        <v>214</v>
      </c>
      <c r="BA81" s="166"/>
      <c r="BB81" s="157">
        <f>IF($O81="M-Sa",(AV81*5)+AW81+AX81,IF($O81="m-su",(AV81*5)+AW81+AX81,IF($O81="M-F",(AV81*5),IF($O81="T-Su",(AV81*4)+AW81+AX81,IF($O81="T-Sa",(AV81*4)+AW81,IF($O81="T-F",(AV81*4),IF($O81="Su-F",(AV81*5)+AW81+AX81,(AV81*5+AW81+AX81))))))))</f>
        <v>40080</v>
      </c>
      <c r="BC81" s="157">
        <f>IF($O81="M-Sa",(BB81/6),IF($O81="m-su",(BB81/7),IF($O81="M-F",(BB81/5),IF($O81="T-Su",(BB81/6),IF($O81="T-Sa",(BB81/5),IF($O81="T-F",(BB81/4),IF($O81="Su-F",(BB81/6),(BB81/7))))))))</f>
        <v>6680</v>
      </c>
      <c r="BD81" s="167">
        <f>IF($O81="M-Sa",(AY81*5)+AZ81+BA81,IF($O81="m-su",(AY81*5)+AZ81+BA81,IF($O81="M-F",(AY81*5),IF($O81="T-Su",(AY81*4)+AZ81+BA81,IF($O81="T-Sa",(AY81*4)+AZ81,IF($O81="T-F",(AY81*4),IF($O81="Su-F",(AY81*5)+AZ81+BA81,(AY81*5+AZ81+BA81))))))))</f>
        <v>1284</v>
      </c>
      <c r="BE81" s="5"/>
      <c r="BF81" s="6" t="s">
        <v>152</v>
      </c>
      <c r="BG81" s="5"/>
      <c r="BH81" s="24" t="s">
        <v>161</v>
      </c>
      <c r="BI81" s="5"/>
    </row>
    <row r="82" spans="1:61" s="5" customFormat="1">
      <c r="A82" s="159" t="s">
        <v>172</v>
      </c>
      <c r="B82" s="1" t="s">
        <v>14</v>
      </c>
      <c r="C82" s="1" t="s">
        <v>118</v>
      </c>
      <c r="D82" s="36" t="s">
        <v>119</v>
      </c>
      <c r="E82" s="3" t="s">
        <v>173</v>
      </c>
      <c r="F82" s="140">
        <v>164000</v>
      </c>
      <c r="G82" s="1" t="s">
        <v>41</v>
      </c>
      <c r="H82" s="1" t="s">
        <v>19</v>
      </c>
      <c r="I82" s="1">
        <v>10</v>
      </c>
      <c r="J82" s="1">
        <v>301</v>
      </c>
      <c r="K82" s="1">
        <f>I82*J82</f>
        <v>3010</v>
      </c>
      <c r="L82" s="84"/>
      <c r="M82" s="84" t="s">
        <v>576</v>
      </c>
      <c r="N82" s="1" t="s">
        <v>35</v>
      </c>
      <c r="O82" s="3" t="s">
        <v>45</v>
      </c>
      <c r="P82" s="4" t="s">
        <v>27</v>
      </c>
      <c r="Q82" s="2" t="s">
        <v>28</v>
      </c>
      <c r="R82" s="144"/>
      <c r="S82" s="142"/>
      <c r="T82" s="143"/>
      <c r="U82" s="142"/>
      <c r="V82" s="142"/>
      <c r="W82" s="142"/>
      <c r="X82" s="144"/>
      <c r="Y82" s="142"/>
      <c r="Z82" s="143"/>
      <c r="AA82" s="142"/>
      <c r="AB82" s="142"/>
      <c r="AC82" s="142"/>
      <c r="AD82" s="148"/>
      <c r="AE82" s="149"/>
      <c r="AF82" s="150"/>
      <c r="AG82" s="149"/>
      <c r="AH82" s="149"/>
      <c r="AI82" s="149"/>
      <c r="AJ82" s="148">
        <f>AD82+AG82</f>
        <v>0</v>
      </c>
      <c r="AK82" s="149">
        <f>AE82+AH82</f>
        <v>0</v>
      </c>
      <c r="AL82" s="150">
        <f>AF82+AI82</f>
        <v>0</v>
      </c>
      <c r="AM82" s="148"/>
      <c r="AN82" s="149"/>
      <c r="AO82" s="150"/>
      <c r="AP82" s="152">
        <v>10534</v>
      </c>
      <c r="AQ82" s="152">
        <v>11410</v>
      </c>
      <c r="AR82" s="152"/>
      <c r="AS82" s="151">
        <v>595</v>
      </c>
      <c r="AT82" s="152">
        <v>498</v>
      </c>
      <c r="AU82" s="166"/>
      <c r="AV82" s="156">
        <f>AP82+AS82</f>
        <v>11129</v>
      </c>
      <c r="AW82" s="156">
        <f>AQ82+AT82</f>
        <v>11908</v>
      </c>
      <c r="AX82" s="156">
        <f>AR82+AU82</f>
        <v>0</v>
      </c>
      <c r="AY82" s="151">
        <f>296+125</f>
        <v>421</v>
      </c>
      <c r="AZ82" s="152">
        <f>297+125</f>
        <v>422</v>
      </c>
      <c r="BA82" s="166"/>
      <c r="BB82" s="157">
        <f>IF($O82="M-Sa",(AV82*5)+AW82+AX82,IF($O82="m-su",(AV82*5)+AW82+AX82,IF($O82="M-F",(AV82*5),IF($O82="T-Su",(AV82*4)+AW82+AX82,IF($O82="T-Sa",(AV82*4)+AW82,IF($O82="T-F",(AV82*4),IF($O82="Su-F",(AV82*5)+AW82+AX82,(AV82*5+AW82+AX82))))))))</f>
        <v>67553</v>
      </c>
      <c r="BC82" s="157">
        <f>IF($O82="M-Sa",(BB82/6),IF($O82="m-su",(BB82/7),IF($O82="M-F",(BB82/5),IF($O82="T-Su",(BB82/6),IF($O82="T-Sa",(BB82/5),IF($O82="T-F",(BB82/4),IF($O82="Su-F",(BB82/6),(BB82/7))))))))</f>
        <v>11258.833333333334</v>
      </c>
      <c r="BD82" s="167">
        <f>IF($O82="M-Sa",(AY82*5)+AZ82+BA82,IF($O82="m-su",(AY82*5)+AZ82+BA82,IF($O82="M-F",(AY82*5),IF($O82="T-Su",(AY82*4)+AZ82+BA82,IF($O82="T-Sa",(AY82*4)+AZ82,IF($O82="T-F",(AY82*4),IF($O82="Su-F",(AY82*5)+AZ82+BA82,(AY82*5+AZ82+BA82))))))))</f>
        <v>2527</v>
      </c>
      <c r="BF82" s="6"/>
      <c r="BI82" s="8"/>
    </row>
    <row r="83" spans="1:61" s="8" customFormat="1">
      <c r="A83" s="159" t="s">
        <v>455</v>
      </c>
      <c r="B83" s="1" t="s">
        <v>14</v>
      </c>
      <c r="C83" s="1" t="s">
        <v>118</v>
      </c>
      <c r="D83" s="36" t="s">
        <v>119</v>
      </c>
      <c r="E83" s="3" t="s">
        <v>174</v>
      </c>
      <c r="F83" s="140">
        <v>127100</v>
      </c>
      <c r="G83" s="1" t="s">
        <v>41</v>
      </c>
      <c r="H83" s="1" t="s">
        <v>19</v>
      </c>
      <c r="I83" s="1">
        <v>10</v>
      </c>
      <c r="J83" s="1">
        <v>301</v>
      </c>
      <c r="K83" s="1">
        <f>I83*J83</f>
        <v>3010</v>
      </c>
      <c r="L83" s="84"/>
      <c r="M83" s="84" t="s">
        <v>576</v>
      </c>
      <c r="N83" s="1" t="s">
        <v>20</v>
      </c>
      <c r="O83" s="3" t="s">
        <v>21</v>
      </c>
      <c r="P83" s="4" t="s">
        <v>67</v>
      </c>
      <c r="Q83" s="2" t="s">
        <v>23</v>
      </c>
      <c r="R83" s="144">
        <f>22886-2138</f>
        <v>20748</v>
      </c>
      <c r="S83" s="142">
        <f>22191-1465</f>
        <v>20726</v>
      </c>
      <c r="T83" s="143">
        <f>19535-1291</f>
        <v>18244</v>
      </c>
      <c r="U83" s="142">
        <f>2138+396</f>
        <v>2534</v>
      </c>
      <c r="V83" s="142">
        <f>1465+403</f>
        <v>1868</v>
      </c>
      <c r="W83" s="142">
        <f>1291+393</f>
        <v>1684</v>
      </c>
      <c r="X83" s="144">
        <f>R83+U83</f>
        <v>23282</v>
      </c>
      <c r="Y83" s="142">
        <f>S83+V83</f>
        <v>22594</v>
      </c>
      <c r="Z83" s="143">
        <f>T83+W83</f>
        <v>19928</v>
      </c>
      <c r="AA83" s="142"/>
      <c r="AB83" s="142"/>
      <c r="AC83" s="142"/>
      <c r="AD83" s="148">
        <v>18339</v>
      </c>
      <c r="AE83" s="149">
        <v>20013</v>
      </c>
      <c r="AF83" s="150">
        <v>17989</v>
      </c>
      <c r="AG83" s="149">
        <v>3752</v>
      </c>
      <c r="AH83" s="149">
        <v>1512</v>
      </c>
      <c r="AI83" s="149">
        <v>1334</v>
      </c>
      <c r="AJ83" s="148">
        <f>AD83+AG83</f>
        <v>22091</v>
      </c>
      <c r="AK83" s="149">
        <f>AE83+AH83</f>
        <v>21525</v>
      </c>
      <c r="AL83" s="150">
        <f>AF83+AI83</f>
        <v>19323</v>
      </c>
      <c r="AM83" s="148">
        <v>26</v>
      </c>
      <c r="AN83" s="149">
        <v>27</v>
      </c>
      <c r="AO83" s="150">
        <v>28</v>
      </c>
      <c r="AP83" s="152">
        <f>AVERAGE(R83,AD83)</f>
        <v>19543.5</v>
      </c>
      <c r="AQ83" s="152">
        <f>AVERAGE(S83,AE83)</f>
        <v>20369.5</v>
      </c>
      <c r="AR83" s="152">
        <f>AVERAGE(T83,AF83)</f>
        <v>18116.5</v>
      </c>
      <c r="AS83" s="151">
        <f>AVERAGE(U83,AG83)</f>
        <v>3143</v>
      </c>
      <c r="AT83" s="152">
        <f>AVERAGE(V83,AH83)</f>
        <v>1690</v>
      </c>
      <c r="AU83" s="166">
        <f>AVERAGE(W83,AI83)</f>
        <v>1509</v>
      </c>
      <c r="AV83" s="156">
        <f>AVERAGE(X83,AJ83)</f>
        <v>22686.5</v>
      </c>
      <c r="AW83" s="156">
        <f>AVERAGE(Y83,AK83)</f>
        <v>22059.5</v>
      </c>
      <c r="AX83" s="156">
        <f>AVERAGE(Z83,AL83)</f>
        <v>19625.5</v>
      </c>
      <c r="AY83" s="151">
        <f>AVERAGE(AA83,AM83)</f>
        <v>26</v>
      </c>
      <c r="AZ83" s="152">
        <f>AVERAGE(AB83,AN83)</f>
        <v>27</v>
      </c>
      <c r="BA83" s="166">
        <f>AVERAGE(AC83,AO83)</f>
        <v>28</v>
      </c>
      <c r="BB83" s="157">
        <f>IF($O83="M-Sa",(AV83*5)+AW83+AX83,IF($O83="m-su",(AV83*5)+AW83+AX83,IF($O83="M-F",(AV83*5),IF($O83="T-Su",(AV83*4)+AW83+AX83,IF($O83="T-Sa",(AV83*4)+AW83,IF($O83="T-F",(AV83*4),IF($O83="Su-F",(AV83*5)+AW83+AX83,(AV83*5+AW83+AX83))))))))</f>
        <v>155117.5</v>
      </c>
      <c r="BC83" s="157">
        <f>IF($O83="M-Sa",(BB83/6),IF($O83="m-su",(BB83/7),IF($O83="M-F",(BB83/5),IF($O83="T-Su",(BB83/6),IF($O83="T-Sa",(BB83/5),IF($O83="T-F",(BB83/4),IF($O83="Su-F",(BB83/6),(BB83/7))))))))</f>
        <v>22159.642857142859</v>
      </c>
      <c r="BD83" s="167">
        <f>IF($O83="M-Sa",(AY83*5)+AZ83+BA83,IF($O83="m-su",(AY83*5)+AZ83+BA83,IF($O83="M-F",(AY83*5),IF($O83="T-Su",(AY83*4)+AZ83+BA83,IF($O83="T-Sa",(AY83*4)+AZ83,IF($O83="T-F",(AY83*4),IF($O83="Su-F",(AY83*5)+AZ83+BA83,(AY83*5+AZ83+BA83))))))))</f>
        <v>185</v>
      </c>
      <c r="BE83" s="5"/>
      <c r="BF83" s="6"/>
      <c r="BG83" s="5"/>
      <c r="BH83" s="5"/>
      <c r="BI83" s="5"/>
    </row>
    <row r="84" spans="1:61" s="16" customFormat="1">
      <c r="A84" s="191" t="s">
        <v>456</v>
      </c>
      <c r="B84" s="14" t="s">
        <v>14</v>
      </c>
      <c r="C84" s="14" t="s">
        <v>118</v>
      </c>
      <c r="D84" s="38" t="s">
        <v>119</v>
      </c>
      <c r="E84" s="17" t="s">
        <v>176</v>
      </c>
      <c r="F84" s="192">
        <v>43165</v>
      </c>
      <c r="G84" s="14" t="s">
        <v>53</v>
      </c>
      <c r="H84" s="14" t="s">
        <v>19</v>
      </c>
      <c r="I84" s="14">
        <v>10</v>
      </c>
      <c r="J84" s="14">
        <v>301</v>
      </c>
      <c r="K84" s="14">
        <f>I84*J84</f>
        <v>3010</v>
      </c>
      <c r="L84" s="204"/>
      <c r="M84" s="84" t="s">
        <v>576</v>
      </c>
      <c r="N84" s="14" t="s">
        <v>20</v>
      </c>
      <c r="O84" s="17" t="s">
        <v>45</v>
      </c>
      <c r="P84" s="18" t="s">
        <v>27</v>
      </c>
      <c r="Q84" s="15" t="s">
        <v>28</v>
      </c>
      <c r="R84" s="199"/>
      <c r="S84" s="200"/>
      <c r="T84" s="201"/>
      <c r="U84" s="200"/>
      <c r="V84" s="200"/>
      <c r="W84" s="200"/>
      <c r="X84" s="199"/>
      <c r="Y84" s="200"/>
      <c r="Z84" s="201"/>
      <c r="AA84" s="200"/>
      <c r="AB84" s="200"/>
      <c r="AC84" s="200"/>
      <c r="AD84" s="199"/>
      <c r="AE84" s="200"/>
      <c r="AF84" s="201"/>
      <c r="AG84" s="200"/>
      <c r="AH84" s="200"/>
      <c r="AI84" s="200"/>
      <c r="AJ84" s="199">
        <f>AD84+AG84</f>
        <v>0</v>
      </c>
      <c r="AK84" s="200">
        <f>AE84+AH84</f>
        <v>0</v>
      </c>
      <c r="AL84" s="201">
        <f>AF84+AI84</f>
        <v>0</v>
      </c>
      <c r="AM84" s="199"/>
      <c r="AN84" s="200"/>
      <c r="AO84" s="201"/>
      <c r="AP84" s="200">
        <v>7118</v>
      </c>
      <c r="AQ84" s="200">
        <v>7136</v>
      </c>
      <c r="AR84" s="200"/>
      <c r="AS84" s="199"/>
      <c r="AT84" s="200"/>
      <c r="AU84" s="201"/>
      <c r="AV84" s="202">
        <f>AP84+AS84</f>
        <v>7118</v>
      </c>
      <c r="AW84" s="202">
        <f>AQ84+AT84</f>
        <v>7136</v>
      </c>
      <c r="AX84" s="202">
        <f>AR84+AU84</f>
        <v>0</v>
      </c>
      <c r="AY84" s="199"/>
      <c r="AZ84" s="200"/>
      <c r="BA84" s="201"/>
      <c r="BB84" s="211">
        <f>IF($O84="M-Sa",(AV84*5)+AW84+AX84,IF($O84="m-su",(AV84*5)+AW84+AX84,IF($O84="M-F",(AV84*5),IF($O84="T-Su",(AV84*4)+AW84+AX84,IF($O84="T-Sa",(AV84*4)+AW84,IF($O84="T-F",(AV84*4),IF($O84="Su-F",(AV84*5)+AW84+AX84,(AV84*5+AW84+AX84))))))))</f>
        <v>42726</v>
      </c>
      <c r="BC84" s="211">
        <f>IF($O84="M-Sa",(BB84/6),IF($O84="m-su",(BB84/7),IF($O84="M-F",(BB84/5),IF($O84="T-Su",(BB84/6),IF($O84="T-Sa",(BB84/5),IF($O84="T-F",(BB84/4),IF($O84="Su-F",(BB84/6),(BB84/7))))))))</f>
        <v>7121</v>
      </c>
      <c r="BD84" s="212">
        <f>IF($O84="M-Sa",(AY84*5)+AZ84+BA84,IF($O84="m-su",(AY84*5)+AZ84+BA84,IF($O84="M-F",(AY84*5),IF($O84="T-Su",(AY84*4)+AZ84+BA84,IF($O84="T-Sa",(AY84*4)+AZ84,IF($O84="T-F",(AY84*4),IF($O84="Su-F",(AY84*5)+AZ84+BA84,(AY84*5+AZ84+BA84))))))))</f>
        <v>0</v>
      </c>
      <c r="BF84" s="19" t="s">
        <v>177</v>
      </c>
      <c r="BH84" s="23" t="s">
        <v>161</v>
      </c>
    </row>
    <row r="85" spans="1:61" s="16" customFormat="1">
      <c r="A85" s="159" t="s">
        <v>178</v>
      </c>
      <c r="B85" s="1" t="s">
        <v>14</v>
      </c>
      <c r="C85" s="1" t="s">
        <v>118</v>
      </c>
      <c r="D85" s="36" t="s">
        <v>119</v>
      </c>
      <c r="E85" s="3" t="s">
        <v>179</v>
      </c>
      <c r="F85" s="140">
        <v>5941500</v>
      </c>
      <c r="G85" s="1" t="s">
        <v>18</v>
      </c>
      <c r="H85" s="1" t="s">
        <v>26</v>
      </c>
      <c r="I85" s="1">
        <v>10</v>
      </c>
      <c r="J85" s="1">
        <v>160</v>
      </c>
      <c r="K85" s="1">
        <f>I85*J85</f>
        <v>1600</v>
      </c>
      <c r="L85" s="84" t="s">
        <v>334</v>
      </c>
      <c r="M85" s="84" t="s">
        <v>576</v>
      </c>
      <c r="N85" s="1" t="s">
        <v>20</v>
      </c>
      <c r="O85" s="3" t="s">
        <v>21</v>
      </c>
      <c r="P85" s="4" t="s">
        <v>27</v>
      </c>
      <c r="Q85" s="2" t="s">
        <v>28</v>
      </c>
      <c r="R85" s="144"/>
      <c r="S85" s="142"/>
      <c r="T85" s="143"/>
      <c r="U85" s="142"/>
      <c r="V85" s="142"/>
      <c r="W85" s="142"/>
      <c r="X85" s="144"/>
      <c r="Y85" s="142"/>
      <c r="Z85" s="143"/>
      <c r="AA85" s="142"/>
      <c r="AB85" s="142"/>
      <c r="AC85" s="142"/>
      <c r="AD85" s="148"/>
      <c r="AE85" s="149"/>
      <c r="AF85" s="150"/>
      <c r="AG85" s="149"/>
      <c r="AH85" s="149"/>
      <c r="AI85" s="149"/>
      <c r="AJ85" s="148">
        <f>AD85+AG85</f>
        <v>0</v>
      </c>
      <c r="AK85" s="149">
        <f>AE85+AH85</f>
        <v>0</v>
      </c>
      <c r="AL85" s="150">
        <f>AF85+AI85</f>
        <v>0</v>
      </c>
      <c r="AM85" s="148"/>
      <c r="AN85" s="149"/>
      <c r="AO85" s="150"/>
      <c r="AP85" s="152">
        <v>114247</v>
      </c>
      <c r="AQ85" s="152">
        <v>103871</v>
      </c>
      <c r="AR85" s="152">
        <v>130583</v>
      </c>
      <c r="AS85" s="151">
        <v>35105</v>
      </c>
      <c r="AT85" s="152">
        <v>33165</v>
      </c>
      <c r="AU85" s="166">
        <v>62244</v>
      </c>
      <c r="AV85" s="156">
        <f>AP85+AS85</f>
        <v>149352</v>
      </c>
      <c r="AW85" s="156">
        <f>AQ85+AT85</f>
        <v>137036</v>
      </c>
      <c r="AX85" s="156">
        <f>AR85+AU85</f>
        <v>192827</v>
      </c>
      <c r="AY85" s="151">
        <f>2616+5925+10914</f>
        <v>19455</v>
      </c>
      <c r="AZ85" s="152">
        <f>2657+5897+10646</f>
        <v>19200</v>
      </c>
      <c r="BA85" s="166">
        <f>2715+6007+10324</f>
        <v>19046</v>
      </c>
      <c r="BB85" s="157">
        <f>IF($O85="M-Sa",(AV85*5)+AW85+AX85,IF($O85="m-su",(AV85*5)+AW85+AX85,IF($O85="M-F",(AV85*5),IF($O85="T-Su",(AV85*4)+AW85+AX85,IF($O85="T-Sa",(AV85*4)+AW85,IF($O85="T-F",(AV85*4),IF($O85="Su-F",(AV85*5)+AW85+AX85,(AV85*5+AW85+AX85))))))))</f>
        <v>1076623</v>
      </c>
      <c r="BC85" s="157">
        <f>IF($O85="M-Sa",(BB85/6),IF($O85="m-su",(BB85/7),IF($O85="M-F",(BB85/5),IF($O85="T-Su",(BB85/6),IF($O85="T-Sa",(BB85/5),IF($O85="T-F",(BB85/4),IF($O85="Su-F",(BB85/6),(BB85/7))))))))</f>
        <v>153803.28571428571</v>
      </c>
      <c r="BD85" s="167">
        <f>IF($O85="M-Sa",(AY85*5)+AZ85+BA85,IF($O85="m-su",(AY85*5)+AZ85+BA85,IF($O85="M-F",(AY85*5),IF($O85="T-Su",(AY85*4)+AZ85+BA85,IF($O85="T-Sa",(AY85*4)+AZ85,IF($O85="T-F",(AY85*4),IF($O85="Su-F",(AY85*5)+AZ85+BA85,(AY85*5+AZ85+BA85))))))))</f>
        <v>135521</v>
      </c>
      <c r="BE85" s="5"/>
      <c r="BF85" s="6"/>
      <c r="BG85" s="5"/>
      <c r="BH85" s="5"/>
      <c r="BI85" s="5"/>
    </row>
    <row r="86" spans="1:61" s="16" customFormat="1">
      <c r="A86" s="159" t="s">
        <v>180</v>
      </c>
      <c r="B86" s="1" t="s">
        <v>14</v>
      </c>
      <c r="C86" s="1" t="s">
        <v>118</v>
      </c>
      <c r="D86" s="36" t="s">
        <v>119</v>
      </c>
      <c r="E86" s="3" t="s">
        <v>179</v>
      </c>
      <c r="F86" s="140">
        <v>5941500</v>
      </c>
      <c r="G86" s="1" t="s">
        <v>18</v>
      </c>
      <c r="H86" s="1" t="s">
        <v>19</v>
      </c>
      <c r="I86" s="1">
        <v>10</v>
      </c>
      <c r="J86" s="1">
        <v>292</v>
      </c>
      <c r="K86" s="1">
        <f>I86*J86</f>
        <v>2920</v>
      </c>
      <c r="L86" s="84" t="s">
        <v>437</v>
      </c>
      <c r="M86" s="84" t="s">
        <v>576</v>
      </c>
      <c r="N86" s="1" t="s">
        <v>181</v>
      </c>
      <c r="O86" s="3" t="s">
        <v>21</v>
      </c>
      <c r="P86" s="4" t="s">
        <v>136</v>
      </c>
      <c r="Q86" s="2" t="s">
        <v>28</v>
      </c>
      <c r="R86" s="144"/>
      <c r="S86" s="142"/>
      <c r="T86" s="143"/>
      <c r="U86" s="142"/>
      <c r="V86" s="142"/>
      <c r="W86" s="142"/>
      <c r="X86" s="144"/>
      <c r="Y86" s="142"/>
      <c r="Z86" s="143"/>
      <c r="AA86" s="142"/>
      <c r="AB86" s="142"/>
      <c r="AC86" s="142"/>
      <c r="AD86" s="148"/>
      <c r="AE86" s="149"/>
      <c r="AF86" s="150"/>
      <c r="AG86" s="149"/>
      <c r="AH86" s="149"/>
      <c r="AI86" s="149"/>
      <c r="AJ86" s="148">
        <f>AD86+AG86</f>
        <v>0</v>
      </c>
      <c r="AK86" s="149">
        <f>AE86+AH86</f>
        <v>0</v>
      </c>
      <c r="AL86" s="150">
        <f>AF86+AI86</f>
        <v>0</v>
      </c>
      <c r="AM86" s="148"/>
      <c r="AN86" s="149"/>
      <c r="AO86" s="150"/>
      <c r="AP86" s="152">
        <v>220231</v>
      </c>
      <c r="AQ86" s="152">
        <v>342306</v>
      </c>
      <c r="AR86" s="152">
        <v>242104</v>
      </c>
      <c r="AS86" s="151">
        <v>129991</v>
      </c>
      <c r="AT86" s="152">
        <v>121207</v>
      </c>
      <c r="AU86" s="166">
        <v>66881</v>
      </c>
      <c r="AV86" s="156">
        <f>AP86+AS86</f>
        <v>350222</v>
      </c>
      <c r="AW86" s="156">
        <f>AQ86+AT86</f>
        <v>463513</v>
      </c>
      <c r="AX86" s="156">
        <f>AR86+AU86</f>
        <v>308985</v>
      </c>
      <c r="AY86" s="151">
        <f>7516+21020+12878</f>
        <v>41414</v>
      </c>
      <c r="AZ86" s="152">
        <f>7690+20783+12267</f>
        <v>40740</v>
      </c>
      <c r="BA86" s="166">
        <f>7588+20932+12284</f>
        <v>40804</v>
      </c>
      <c r="BB86" s="157">
        <f>IF($O86="M-Sa",(AV86*5)+AW86+AX86,IF($O86="m-su",(AV86*5)+AW86+AX86,IF($O86="M-F",(AV86*5),IF($O86="T-Su",(AV86*4)+AW86+AX86,IF($O86="T-Sa",(AV86*4)+AW86,IF($O86="T-F",(AV86*4),IF($O86="Su-F",(AV86*5)+AW86+AX86,(AV86*5+AW86+AX86))))))))</f>
        <v>2523608</v>
      </c>
      <c r="BC86" s="157">
        <f>IF($O86="M-Sa",(BB86/6),IF($O86="m-su",(BB86/7),IF($O86="M-F",(BB86/5),IF($O86="T-Su",(BB86/6),IF($O86="T-Sa",(BB86/5),IF($O86="T-F",(BB86/4),IF($O86="Su-F",(BB86/6),(BB86/7))))))))</f>
        <v>360515.42857142858</v>
      </c>
      <c r="BD86" s="167">
        <f>IF($O86="M-Sa",(AY86*5)+AZ86+BA86,IF($O86="m-su",(AY86*5)+AZ86+BA86,IF($O86="M-F",(AY86*5),IF($O86="T-Su",(AY86*4)+AZ86+BA86,IF($O86="T-Sa",(AY86*4)+AZ86,IF($O86="T-F",(AY86*4),IF($O86="Su-F",(AY86*5)+AZ86+BA86,(AY86*5+AZ86+BA86))))))))</f>
        <v>288614</v>
      </c>
      <c r="BE86" s="5"/>
      <c r="BF86" s="12" t="s">
        <v>55</v>
      </c>
      <c r="BG86" s="9"/>
      <c r="BH86" s="13" t="s">
        <v>55</v>
      </c>
      <c r="BI86" s="5"/>
    </row>
    <row r="87" spans="1:61" s="5" customFormat="1">
      <c r="A87" s="191" t="s">
        <v>252</v>
      </c>
      <c r="B87" s="14" t="s">
        <v>14</v>
      </c>
      <c r="C87" s="14" t="s">
        <v>118</v>
      </c>
      <c r="D87" s="38" t="s">
        <v>119</v>
      </c>
      <c r="E87" s="17" t="s">
        <v>179</v>
      </c>
      <c r="F87" s="192">
        <v>5941500</v>
      </c>
      <c r="G87" s="14" t="s">
        <v>18</v>
      </c>
      <c r="H87" s="14" t="s">
        <v>26</v>
      </c>
      <c r="I87" s="14">
        <v>6</v>
      </c>
      <c r="J87" s="14">
        <v>160</v>
      </c>
      <c r="K87" s="14">
        <f>I87*J87</f>
        <v>960</v>
      </c>
      <c r="L87" s="14"/>
      <c r="M87" s="1" t="s">
        <v>577</v>
      </c>
      <c r="N87" s="14" t="s">
        <v>20</v>
      </c>
      <c r="O87" s="17" t="s">
        <v>36</v>
      </c>
      <c r="P87" s="18" t="s">
        <v>27</v>
      </c>
      <c r="Q87" s="15" t="s">
        <v>28</v>
      </c>
      <c r="R87" s="195"/>
      <c r="S87" s="193"/>
      <c r="T87" s="194"/>
      <c r="U87" s="193"/>
      <c r="V87" s="193"/>
      <c r="W87" s="193"/>
      <c r="X87" s="195"/>
      <c r="Y87" s="193"/>
      <c r="Z87" s="194"/>
      <c r="AA87" s="193"/>
      <c r="AB87" s="193"/>
      <c r="AC87" s="193"/>
      <c r="AD87" s="196"/>
      <c r="AE87" s="197"/>
      <c r="AF87" s="198"/>
      <c r="AG87" s="197"/>
      <c r="AH87" s="197"/>
      <c r="AI87" s="197"/>
      <c r="AJ87" s="196"/>
      <c r="AK87" s="197"/>
      <c r="AL87" s="198"/>
      <c r="AM87" s="196"/>
      <c r="AN87" s="197"/>
      <c r="AO87" s="198"/>
      <c r="AP87" s="14"/>
      <c r="AQ87" s="14"/>
      <c r="AR87" s="14"/>
      <c r="AS87" s="199">
        <v>258007</v>
      </c>
      <c r="AT87" s="200"/>
      <c r="AU87" s="201"/>
      <c r="AV87" s="202">
        <f>AP87+AS87</f>
        <v>258007</v>
      </c>
      <c r="AW87" s="202">
        <f>AQ87+AT87</f>
        <v>0</v>
      </c>
      <c r="AX87" s="202"/>
      <c r="AY87" s="38"/>
      <c r="AZ87" s="14"/>
      <c r="BA87" s="39"/>
      <c r="BB87" s="211">
        <f>IF($O87="M-Sa",(AV87*5)+AW87+AX87,IF($O87="m-su",(AV87*5)+AW87+AX87,IF($O87="M-F",(AV87*5),IF($O87="T-Su",(AV87*4)+AW87+AX87,IF($O87="T-Sa",(AV87*4)+AW87,IF($O87="T-F",(AV87*4),IF($O87="Su-F",(AV87*5)+AW87+AX87,(AV87*5+AW87+AX87))))))))</f>
        <v>1290035</v>
      </c>
      <c r="BC87" s="211">
        <f>IF($O87="M-Sa",(BB87/6),IF($O87="m-su",(BB87/7),IF($O87="M-F",(BB87/5),IF($O87="T-Su",(BB87/6),IF($O87="T-Sa",(BB87/5),IF($O87="T-F",(BB87/4),IF($O87="Su-F",(BB87/6),(BB87/7))))))))</f>
        <v>258007</v>
      </c>
      <c r="BD87" s="212">
        <f>IF($O87="M-Sa",(AY87*5)+AZ87+BA87,IF($O87="m-su",(AY87*5)+AZ87+BA87,IF($O87="M-F",(AY87*5),IF($O87="T-Su",(AY87*4)+AZ87+BA87,IF($O87="T-Sa",(AY87*4)+AZ87,IF($O87="T-F",(AY87*4),IF($O87="Su-F",(AY87*5)+AZ87+BA87,(AY87*5+AZ87+BA87))))))))</f>
        <v>0</v>
      </c>
      <c r="BE87" s="40"/>
      <c r="BF87" s="17"/>
      <c r="BG87" s="203">
        <v>2003</v>
      </c>
      <c r="BH87" s="41" t="s">
        <v>239</v>
      </c>
      <c r="BI87" s="16"/>
    </row>
    <row r="88" spans="1:61" s="16" customFormat="1">
      <c r="A88" s="159" t="s">
        <v>245</v>
      </c>
      <c r="B88" s="1" t="s">
        <v>233</v>
      </c>
      <c r="C88" s="1" t="s">
        <v>118</v>
      </c>
      <c r="D88" s="36" t="s">
        <v>119</v>
      </c>
      <c r="E88" s="3" t="s">
        <v>179</v>
      </c>
      <c r="F88" s="140">
        <v>5941500</v>
      </c>
      <c r="G88" s="1" t="s">
        <v>18</v>
      </c>
      <c r="H88" s="1" t="s">
        <v>19</v>
      </c>
      <c r="I88" s="1">
        <v>6</v>
      </c>
      <c r="J88" s="1"/>
      <c r="K88" s="1">
        <f>I88*J88</f>
        <v>0</v>
      </c>
      <c r="L88" s="1"/>
      <c r="M88" s="1" t="s">
        <v>577</v>
      </c>
      <c r="N88" s="1" t="s">
        <v>20</v>
      </c>
      <c r="O88" s="3" t="s">
        <v>36</v>
      </c>
      <c r="P88" s="4" t="s">
        <v>98</v>
      </c>
      <c r="Q88" s="2" t="s">
        <v>28</v>
      </c>
      <c r="R88" s="162"/>
      <c r="S88" s="160"/>
      <c r="T88" s="161"/>
      <c r="U88" s="160"/>
      <c r="V88" s="160"/>
      <c r="W88" s="160"/>
      <c r="X88" s="162"/>
      <c r="Y88" s="160"/>
      <c r="Z88" s="161"/>
      <c r="AA88" s="160"/>
      <c r="AB88" s="160"/>
      <c r="AC88" s="160"/>
      <c r="AD88" s="163"/>
      <c r="AE88" s="164"/>
      <c r="AF88" s="165"/>
      <c r="AG88" s="164"/>
      <c r="AH88" s="164"/>
      <c r="AI88" s="164"/>
      <c r="AJ88" s="163"/>
      <c r="AK88" s="164"/>
      <c r="AL88" s="165"/>
      <c r="AM88" s="163"/>
      <c r="AN88" s="164"/>
      <c r="AO88" s="165"/>
      <c r="AP88" s="1"/>
      <c r="AQ88" s="1"/>
      <c r="AR88" s="1"/>
      <c r="AS88" s="151">
        <v>9847</v>
      </c>
      <c r="AT88" s="152"/>
      <c r="AU88" s="166"/>
      <c r="AV88" s="156">
        <f>AP88+AS88</f>
        <v>9847</v>
      </c>
      <c r="AW88" s="156">
        <f>AQ88+AT88</f>
        <v>0</v>
      </c>
      <c r="AX88" s="156"/>
      <c r="AY88" s="36"/>
      <c r="AZ88" s="1"/>
      <c r="BA88" s="37"/>
      <c r="BB88" s="157">
        <f>IF($O88="M-Sa",(AV88*5)+AW88+AX88,IF($O88="m-su",(AV88*5)+AW88+AX88,IF($O88="M-F",(AV88*5),IF($O88="T-Su",(AV88*4)+AW88+AX88,IF($O88="T-Sa",(AV88*4)+AW88,IF($O88="T-F",(AV88*4),IF($O88="Su-F",(AV88*5)+AW88+AX88,(AV88*5+AW88+AX88))))))))</f>
        <v>49235</v>
      </c>
      <c r="BC88" s="157">
        <f>IF($O88="M-Sa",(BB88/6),IF($O88="m-su",(BB88/7),IF($O88="M-F",(BB88/5),IF($O88="T-Su",(BB88/6),IF($O88="T-Sa",(BB88/5),IF($O88="T-F",(BB88/4),IF($O88="Su-F",(BB88/6),(BB88/7))))))))</f>
        <v>9847</v>
      </c>
      <c r="BD88" s="167">
        <f>IF($O88="M-Sa",(AY88*5)+AZ88+BA88,IF($O88="m-su",(AY88*5)+AZ88+BA88,IF($O88="M-F",(AY88*5),IF($O88="T-Su",(AY88*4)+AZ88+BA88,IF($O88="T-Sa",(AY88*4)+AZ88,IF($O88="T-F",(AY88*4),IF($O88="Su-F",(AY88*5)+AZ88+BA88,(AY88*5+AZ88+BA88))))))))</f>
        <v>0</v>
      </c>
      <c r="BE88" s="34"/>
      <c r="BF88" s="3"/>
      <c r="BG88" s="168">
        <v>2005</v>
      </c>
      <c r="BH88" s="42" t="s">
        <v>235</v>
      </c>
      <c r="BI88" s="5"/>
    </row>
    <row r="89" spans="1:61" s="5" customFormat="1">
      <c r="A89" s="159" t="s">
        <v>250</v>
      </c>
      <c r="B89" s="1" t="s">
        <v>14</v>
      </c>
      <c r="C89" s="1" t="s">
        <v>118</v>
      </c>
      <c r="D89" s="36" t="s">
        <v>119</v>
      </c>
      <c r="E89" s="3" t="s">
        <v>179</v>
      </c>
      <c r="F89" s="140">
        <v>5941500</v>
      </c>
      <c r="G89" s="1" t="s">
        <v>18</v>
      </c>
      <c r="H89" s="1" t="s">
        <v>26</v>
      </c>
      <c r="I89" s="1">
        <v>6</v>
      </c>
      <c r="J89" s="1">
        <v>175</v>
      </c>
      <c r="K89" s="1">
        <f>I89*J89</f>
        <v>1050</v>
      </c>
      <c r="L89" s="1"/>
      <c r="M89" s="1" t="s">
        <v>577</v>
      </c>
      <c r="N89" s="1" t="s">
        <v>20</v>
      </c>
      <c r="O89" s="3" t="s">
        <v>36</v>
      </c>
      <c r="P89" s="4" t="s">
        <v>218</v>
      </c>
      <c r="Q89" s="2" t="s">
        <v>28</v>
      </c>
      <c r="R89" s="162"/>
      <c r="S89" s="160"/>
      <c r="T89" s="161"/>
      <c r="U89" s="160"/>
      <c r="V89" s="160"/>
      <c r="W89" s="160"/>
      <c r="X89" s="162"/>
      <c r="Y89" s="160"/>
      <c r="Z89" s="161"/>
      <c r="AA89" s="160"/>
      <c r="AB89" s="160"/>
      <c r="AC89" s="160"/>
      <c r="AD89" s="163"/>
      <c r="AE89" s="164"/>
      <c r="AF89" s="165"/>
      <c r="AG89" s="164"/>
      <c r="AH89" s="164"/>
      <c r="AI89" s="164"/>
      <c r="AJ89" s="163"/>
      <c r="AK89" s="164"/>
      <c r="AL89" s="165"/>
      <c r="AM89" s="163"/>
      <c r="AN89" s="164"/>
      <c r="AO89" s="165"/>
      <c r="AP89" s="1"/>
      <c r="AQ89" s="1"/>
      <c r="AR89" s="1"/>
      <c r="AS89" s="151">
        <v>233051</v>
      </c>
      <c r="AT89" s="152"/>
      <c r="AU89" s="166"/>
      <c r="AV89" s="156">
        <f>AP89+AS89</f>
        <v>233051</v>
      </c>
      <c r="AW89" s="156">
        <f>AQ89+AT89</f>
        <v>0</v>
      </c>
      <c r="AX89" s="156"/>
      <c r="AY89" s="36"/>
      <c r="AZ89" s="1"/>
      <c r="BA89" s="37"/>
      <c r="BB89" s="157">
        <f>IF($O89="M-Sa",(AV89*5)+AW89+AX89,IF($O89="m-su",(AV89*5)+AW89+AX89,IF($O89="M-F",(AV89*5),IF($O89="T-Su",(AV89*4)+AW89+AX89,IF($O89="T-Sa",(AV89*4)+AW89,IF($O89="T-F",(AV89*4),IF($O89="Su-F",(AV89*5)+AW89+AX89,(AV89*5+AW89+AX89))))))))</f>
        <v>1165255</v>
      </c>
      <c r="BC89" s="157">
        <f>IF($O89="M-Sa",(BB89/6),IF($O89="m-su",(BB89/7),IF($O89="M-F",(BB89/5),IF($O89="T-Su",(BB89/6),IF($O89="T-Sa",(BB89/5),IF($O89="T-F",(BB89/4),IF($O89="Su-F",(BB89/6),(BB89/7))))))))</f>
        <v>233051</v>
      </c>
      <c r="BD89" s="167">
        <f>IF($O89="M-Sa",(AY89*5)+AZ89+BA89,IF($O89="m-su",(AY89*5)+AZ89+BA89,IF($O89="M-F",(AY89*5),IF($O89="T-Su",(AY89*4)+AZ89+BA89,IF($O89="T-Sa",(AY89*4)+AZ89,IF($O89="T-F",(AY89*4),IF($O89="Su-F",(AY89*5)+AZ89+BA89,(AY89*5+AZ89+BA89))))))))</f>
        <v>0</v>
      </c>
      <c r="BE89" s="34"/>
      <c r="BF89" s="3"/>
      <c r="BG89" s="168">
        <v>2000</v>
      </c>
      <c r="BH89" s="35" t="s">
        <v>251</v>
      </c>
    </row>
    <row r="90" spans="1:61" s="10" customFormat="1">
      <c r="A90" s="159" t="s">
        <v>182</v>
      </c>
      <c r="B90" s="1" t="s">
        <v>14</v>
      </c>
      <c r="C90" s="1" t="s">
        <v>118</v>
      </c>
      <c r="D90" s="36" t="s">
        <v>119</v>
      </c>
      <c r="E90" s="3" t="s">
        <v>183</v>
      </c>
      <c r="F90" s="140">
        <v>98780</v>
      </c>
      <c r="G90" s="1" t="s">
        <v>34</v>
      </c>
      <c r="H90" s="1" t="s">
        <v>19</v>
      </c>
      <c r="I90" s="1">
        <v>10</v>
      </c>
      <c r="J90" s="1">
        <v>307</v>
      </c>
      <c r="K90" s="1">
        <f>I90*J90</f>
        <v>3070</v>
      </c>
      <c r="L90" s="84"/>
      <c r="M90" s="84" t="s">
        <v>576</v>
      </c>
      <c r="N90" s="1" t="s">
        <v>35</v>
      </c>
      <c r="O90" s="3" t="s">
        <v>45</v>
      </c>
      <c r="P90" s="4" t="s">
        <v>136</v>
      </c>
      <c r="Q90" s="2" t="s">
        <v>28</v>
      </c>
      <c r="R90" s="144"/>
      <c r="S90" s="142"/>
      <c r="T90" s="143"/>
      <c r="U90" s="142"/>
      <c r="V90" s="142"/>
      <c r="W90" s="142"/>
      <c r="X90" s="144"/>
      <c r="Y90" s="142"/>
      <c r="Z90" s="143"/>
      <c r="AA90" s="142"/>
      <c r="AB90" s="142"/>
      <c r="AC90" s="142"/>
      <c r="AD90" s="148"/>
      <c r="AE90" s="149"/>
      <c r="AF90" s="150"/>
      <c r="AG90" s="149"/>
      <c r="AH90" s="149"/>
      <c r="AI90" s="149"/>
      <c r="AJ90" s="148">
        <f>AD90+AG90</f>
        <v>0</v>
      </c>
      <c r="AK90" s="149">
        <f>AE90+AH90</f>
        <v>0</v>
      </c>
      <c r="AL90" s="150">
        <f>AF90+AI90</f>
        <v>0</v>
      </c>
      <c r="AM90" s="148"/>
      <c r="AN90" s="149"/>
      <c r="AO90" s="150"/>
      <c r="AP90" s="152">
        <v>49167</v>
      </c>
      <c r="AQ90" s="152">
        <v>51719</v>
      </c>
      <c r="AR90" s="152"/>
      <c r="AS90" s="151">
        <v>11527</v>
      </c>
      <c r="AT90" s="152">
        <v>7636</v>
      </c>
      <c r="AU90" s="166"/>
      <c r="AV90" s="156">
        <f>AP90+AS90</f>
        <v>60694</v>
      </c>
      <c r="AW90" s="156">
        <f>AQ90+AT90</f>
        <v>59355</v>
      </c>
      <c r="AX90" s="156">
        <f>AR90+AU90</f>
        <v>0</v>
      </c>
      <c r="AY90" s="151">
        <f>2447+6547</f>
        <v>8994</v>
      </c>
      <c r="AZ90" s="152">
        <f>319+6000</f>
        <v>6319</v>
      </c>
      <c r="BA90" s="166"/>
      <c r="BB90" s="157">
        <f>IF($O90="M-Sa",(AV90*5)+AW90+AX90,IF($O90="m-su",(AV90*5)+AW90+AX90,IF($O90="M-F",(AV90*5),IF($O90="T-Su",(AV90*4)+AW90+AX90,IF($O90="T-Sa",(AV90*4)+AW90,IF($O90="T-F",(AV90*4),IF($O90="Su-F",(AV90*5)+AW90+AX90,(AV90*5+AW90+AX90))))))))</f>
        <v>362825</v>
      </c>
      <c r="BC90" s="157">
        <f>IF($O90="M-Sa",(BB90/6),IF($O90="m-su",(BB90/7),IF($O90="M-F",(BB90/5),IF($O90="T-Su",(BB90/6),IF($O90="T-Sa",(BB90/5),IF($O90="T-F",(BB90/4),IF($O90="Su-F",(BB90/6),(BB90/7))))))))</f>
        <v>60470.833333333336</v>
      </c>
      <c r="BD90" s="167">
        <f>IF($O90="M-Sa",(AY90*5)+AZ90+BA90,IF($O90="m-su",(AY90*5)+AZ90+BA90,IF($O90="M-F",(AY90*5),IF($O90="T-Su",(AY90*4)+AZ90+BA90,IF($O90="T-Sa",(AY90*4)+AZ90,IF($O90="T-F",(AY90*4),IF($O90="Su-F",(AY90*5)+AZ90+BA90,(AY90*5+AZ90+BA90))))))))</f>
        <v>51289</v>
      </c>
      <c r="BE90" s="5"/>
      <c r="BF90" s="6"/>
      <c r="BG90" s="5"/>
      <c r="BH90" s="5"/>
      <c r="BI90" s="8"/>
    </row>
    <row r="91" spans="1:61" s="10" customFormat="1">
      <c r="A91" s="159" t="s">
        <v>457</v>
      </c>
      <c r="B91" s="1" t="s">
        <v>14</v>
      </c>
      <c r="C91" s="1" t="s">
        <v>118</v>
      </c>
      <c r="D91" s="36" t="s">
        <v>119</v>
      </c>
      <c r="E91" s="3" t="s">
        <v>185</v>
      </c>
      <c r="F91" s="140">
        <v>50631</v>
      </c>
      <c r="G91" s="1" t="s">
        <v>34</v>
      </c>
      <c r="H91" s="1" t="s">
        <v>19</v>
      </c>
      <c r="I91" s="1">
        <v>10</v>
      </c>
      <c r="J91" s="1">
        <v>301</v>
      </c>
      <c r="K91" s="1">
        <f>I91*J91</f>
        <v>3010</v>
      </c>
      <c r="L91" s="84"/>
      <c r="M91" s="84" t="s">
        <v>576</v>
      </c>
      <c r="N91" s="1" t="s">
        <v>20</v>
      </c>
      <c r="O91" s="3" t="s">
        <v>45</v>
      </c>
      <c r="P91" s="4" t="s">
        <v>27</v>
      </c>
      <c r="Q91" s="2" t="s">
        <v>28</v>
      </c>
      <c r="R91" s="144"/>
      <c r="S91" s="142"/>
      <c r="T91" s="143"/>
      <c r="U91" s="142"/>
      <c r="V91" s="142"/>
      <c r="W91" s="142"/>
      <c r="X91" s="144"/>
      <c r="Y91" s="142"/>
      <c r="Z91" s="143"/>
      <c r="AA91" s="142"/>
      <c r="AB91" s="142"/>
      <c r="AC91" s="142"/>
      <c r="AD91" s="148"/>
      <c r="AE91" s="149"/>
      <c r="AF91" s="150"/>
      <c r="AG91" s="149"/>
      <c r="AH91" s="149"/>
      <c r="AI91" s="149"/>
      <c r="AJ91" s="148">
        <f>AD91+AG91</f>
        <v>0</v>
      </c>
      <c r="AK91" s="149">
        <f>AE91+AH91</f>
        <v>0</v>
      </c>
      <c r="AL91" s="150">
        <f>AF91+AI91</f>
        <v>0</v>
      </c>
      <c r="AM91" s="148"/>
      <c r="AN91" s="149"/>
      <c r="AO91" s="150"/>
      <c r="AP91" s="152">
        <v>8347</v>
      </c>
      <c r="AQ91" s="152">
        <v>8381</v>
      </c>
      <c r="AR91" s="152"/>
      <c r="AS91" s="151">
        <v>7308</v>
      </c>
      <c r="AT91" s="152">
        <v>3730</v>
      </c>
      <c r="AU91" s="166"/>
      <c r="AV91" s="156">
        <f>AP91+AS91</f>
        <v>15655</v>
      </c>
      <c r="AW91" s="156">
        <f>AQ91+AT91</f>
        <v>12111</v>
      </c>
      <c r="AX91" s="156">
        <f>AR91+AU91</f>
        <v>0</v>
      </c>
      <c r="AY91" s="151">
        <f>202+286+3991</f>
        <v>4479</v>
      </c>
      <c r="AZ91" s="152">
        <f>210+297+3390</f>
        <v>3897</v>
      </c>
      <c r="BA91" s="166"/>
      <c r="BB91" s="157">
        <f>IF($O91="M-Sa",(AV91*5)+AW91+AX91,IF($O91="m-su",(AV91*5)+AW91+AX91,IF($O91="M-F",(AV91*5),IF($O91="T-Su",(AV91*4)+AW91+AX91,IF($O91="T-Sa",(AV91*4)+AW91,IF($O91="T-F",(AV91*4),IF($O91="Su-F",(AV91*5)+AW91+AX91,(AV91*5+AW91+AX91))))))))</f>
        <v>90386</v>
      </c>
      <c r="BC91" s="157">
        <f>IF($O91="M-Sa",(BB91/6),IF($O91="m-su",(BB91/7),IF($O91="M-F",(BB91/5),IF($O91="T-Su",(BB91/6),IF($O91="T-Sa",(BB91/5),IF($O91="T-F",(BB91/4),IF($O91="Su-F",(BB91/6),(BB91/7))))))))</f>
        <v>15064.333333333334</v>
      </c>
      <c r="BD91" s="167">
        <f>IF($O91="M-Sa",(AY91*5)+AZ91+BA91,IF($O91="m-su",(AY91*5)+AZ91+BA91,IF($O91="M-F",(AY91*5),IF($O91="T-Su",(AY91*4)+AZ91+BA91,IF($O91="T-Sa",(AY91*4)+AZ91,IF($O91="T-F",(AY91*4),IF($O91="Su-F",(AY91*5)+AZ91+BA91,(AY91*5+AZ91+BA91))))))))</f>
        <v>26292</v>
      </c>
      <c r="BE91" s="5"/>
      <c r="BF91" s="6"/>
      <c r="BG91" s="5"/>
      <c r="BH91" s="5"/>
      <c r="BI91" s="5"/>
    </row>
    <row r="92" spans="1:61" s="16" customFormat="1">
      <c r="A92" s="159" t="s">
        <v>186</v>
      </c>
      <c r="B92" s="1" t="s">
        <v>14</v>
      </c>
      <c r="C92" s="1" t="s">
        <v>118</v>
      </c>
      <c r="D92" s="36" t="s">
        <v>119</v>
      </c>
      <c r="E92" s="3" t="s">
        <v>187</v>
      </c>
      <c r="F92" s="140">
        <v>333400</v>
      </c>
      <c r="G92" s="1" t="s">
        <v>41</v>
      </c>
      <c r="H92" s="1" t="s">
        <v>19</v>
      </c>
      <c r="I92" s="1">
        <v>10</v>
      </c>
      <c r="J92" s="1">
        <v>297</v>
      </c>
      <c r="K92" s="1">
        <f>I92*J92</f>
        <v>2970</v>
      </c>
      <c r="L92" s="84" t="s">
        <v>337</v>
      </c>
      <c r="M92" s="84" t="s">
        <v>576</v>
      </c>
      <c r="N92" s="1" t="s">
        <v>20</v>
      </c>
      <c r="O92" s="3" t="s">
        <v>45</v>
      </c>
      <c r="P92" s="4" t="s">
        <v>22</v>
      </c>
      <c r="Q92" s="2" t="s">
        <v>23</v>
      </c>
      <c r="R92" s="144">
        <f>48015-694</f>
        <v>47321</v>
      </c>
      <c r="S92" s="142">
        <f>49478-719</f>
        <v>48759</v>
      </c>
      <c r="T92" s="143"/>
      <c r="U92" s="142">
        <f>694+1070</f>
        <v>1764</v>
      </c>
      <c r="V92" s="142">
        <f>719+1068</f>
        <v>1787</v>
      </c>
      <c r="W92" s="142"/>
      <c r="X92" s="144">
        <f>R92+U92</f>
        <v>49085</v>
      </c>
      <c r="Y92" s="142">
        <f>S92+V92</f>
        <v>50546</v>
      </c>
      <c r="Z92" s="143"/>
      <c r="AA92" s="142"/>
      <c r="AB92" s="142"/>
      <c r="AC92" s="142"/>
      <c r="AD92" s="148">
        <v>40778</v>
      </c>
      <c r="AE92" s="149">
        <v>45453</v>
      </c>
      <c r="AF92" s="150"/>
      <c r="AG92" s="149">
        <v>14689</v>
      </c>
      <c r="AH92" s="149">
        <v>10829</v>
      </c>
      <c r="AI92" s="149"/>
      <c r="AJ92" s="148">
        <f>AD92+AG92</f>
        <v>55467</v>
      </c>
      <c r="AK92" s="149">
        <f>AE92+AH92</f>
        <v>56282</v>
      </c>
      <c r="AL92" s="150">
        <f>AF92+AI92</f>
        <v>0</v>
      </c>
      <c r="AM92" s="148">
        <v>12649</v>
      </c>
      <c r="AN92" s="149">
        <v>9002</v>
      </c>
      <c r="AO92" s="150"/>
      <c r="AP92" s="152">
        <f>AVERAGE(R92,AD92)</f>
        <v>44049.5</v>
      </c>
      <c r="AQ92" s="152">
        <f>AVERAGE(S92,AE92)</f>
        <v>47106</v>
      </c>
      <c r="AR92" s="152"/>
      <c r="AS92" s="151">
        <f>AVERAGE(U92,AG92)</f>
        <v>8226.5</v>
      </c>
      <c r="AT92" s="152">
        <f>AVERAGE(V92,AH92)</f>
        <v>6308</v>
      </c>
      <c r="AU92" s="166"/>
      <c r="AV92" s="156">
        <f>AVERAGE(X92,AJ92)</f>
        <v>52276</v>
      </c>
      <c r="AW92" s="156">
        <f>AVERAGE(Y92,AK92)</f>
        <v>53414</v>
      </c>
      <c r="AX92" s="156">
        <f>AVERAGE(Z92,AL92)</f>
        <v>0</v>
      </c>
      <c r="AY92" s="151">
        <f>AVERAGE(AA92,AM92)</f>
        <v>12649</v>
      </c>
      <c r="AZ92" s="152">
        <f>AVERAGE(AB92,AN92)</f>
        <v>9002</v>
      </c>
      <c r="BA92" s="166"/>
      <c r="BB92" s="157">
        <f>IF($O92="M-Sa",(AV92*5)+AW92+AX92,IF($O92="m-su",(AV92*5)+AW92+AX92,IF($O92="M-F",(AV92*5),IF($O92="T-Su",(AV92*4)+AW92+AX92,IF($O92="T-Sa",(AV92*4)+AW92,IF($O92="T-F",(AV92*4),IF($O92="Su-F",(AV92*5)+AW92+AX92,(AV92*5+AW92+AX92))))))))</f>
        <v>314794</v>
      </c>
      <c r="BC92" s="157">
        <f>IF($O92="M-Sa",(BB92/6),IF($O92="m-su",(BB92/7),IF($O92="M-F",(BB92/5),IF($O92="T-Su",(BB92/6),IF($O92="T-Sa",(BB92/5),IF($O92="T-F",(BB92/4),IF($O92="Su-F",(BB92/6),(BB92/7))))))))</f>
        <v>52465.666666666664</v>
      </c>
      <c r="BD92" s="167">
        <f>IF($O92="M-Sa",(AY92*5)+AZ92+BA92,IF($O92="m-su",(AY92*5)+AZ92+BA92,IF($O92="M-F",(AY92*5),IF($O92="T-Su",(AY92*4)+AZ92+BA92,IF($O92="T-Sa",(AY92*4)+AZ92,IF($O92="T-F",(AY92*4),IF($O92="Su-F",(AY92*5)+AZ92+BA92,(AY92*5+AZ92+BA92))))))))</f>
        <v>72247</v>
      </c>
      <c r="BE92" s="5"/>
      <c r="BF92" s="6"/>
      <c r="BG92" s="5"/>
      <c r="BH92" s="5"/>
      <c r="BI92" s="5"/>
    </row>
    <row r="93" spans="1:61" s="16" customFormat="1">
      <c r="A93" s="191" t="s">
        <v>458</v>
      </c>
      <c r="B93" s="14" t="s">
        <v>14</v>
      </c>
      <c r="C93" s="14" t="s">
        <v>118</v>
      </c>
      <c r="D93" s="38" t="s">
        <v>119</v>
      </c>
      <c r="E93" s="17" t="s">
        <v>188</v>
      </c>
      <c r="F93" s="192">
        <v>37754</v>
      </c>
      <c r="G93" s="14" t="s">
        <v>53</v>
      </c>
      <c r="H93" s="14" t="s">
        <v>19</v>
      </c>
      <c r="I93" s="14">
        <v>10</v>
      </c>
      <c r="J93" s="14">
        <v>301</v>
      </c>
      <c r="K93" s="14">
        <f>I93*J93</f>
        <v>3010</v>
      </c>
      <c r="L93" s="204"/>
      <c r="M93" s="84" t="s">
        <v>576</v>
      </c>
      <c r="N93" s="14" t="s">
        <v>35</v>
      </c>
      <c r="O93" s="17" t="s">
        <v>45</v>
      </c>
      <c r="P93" s="18" t="s">
        <v>27</v>
      </c>
      <c r="Q93" s="15" t="s">
        <v>353</v>
      </c>
      <c r="R93" s="199"/>
      <c r="S93" s="200"/>
      <c r="T93" s="201"/>
      <c r="U93" s="200"/>
      <c r="V93" s="200"/>
      <c r="W93" s="200"/>
      <c r="X93" s="199"/>
      <c r="Y93" s="200"/>
      <c r="Z93" s="201"/>
      <c r="AA93" s="200"/>
      <c r="AB93" s="200"/>
      <c r="AC93" s="200"/>
      <c r="AD93" s="199"/>
      <c r="AE93" s="200"/>
      <c r="AF93" s="201"/>
      <c r="AG93" s="200"/>
      <c r="AH93" s="200"/>
      <c r="AI93" s="200"/>
      <c r="AJ93" s="199">
        <f>AD93+AG93</f>
        <v>0</v>
      </c>
      <c r="AK93" s="200">
        <f>AE93+AH93</f>
        <v>0</v>
      </c>
      <c r="AL93" s="201">
        <f>AF93+AI93</f>
        <v>0</v>
      </c>
      <c r="AM93" s="199"/>
      <c r="AN93" s="200"/>
      <c r="AO93" s="201"/>
      <c r="AP93" s="200">
        <v>7700</v>
      </c>
      <c r="AQ93" s="200">
        <v>7700</v>
      </c>
      <c r="AR93" s="200"/>
      <c r="AS93" s="199"/>
      <c r="AT93" s="200"/>
      <c r="AU93" s="201"/>
      <c r="AV93" s="202">
        <f>AP93+AS93</f>
        <v>7700</v>
      </c>
      <c r="AW93" s="202">
        <f>AQ93+AT93</f>
        <v>7700</v>
      </c>
      <c r="AX93" s="202">
        <f>AR93+AU93</f>
        <v>0</v>
      </c>
      <c r="AY93" s="199"/>
      <c r="AZ93" s="200"/>
      <c r="BA93" s="201"/>
      <c r="BB93" s="211">
        <f>IF($O93="M-Sa",(AV93*5)+AW93+AX93,IF($O93="m-su",(AV93*5)+AW93+AX93,IF($O93="M-F",(AV93*5),IF($O93="T-Su",(AV93*4)+AW93+AX93,IF($O93="T-Sa",(AV93*4)+AW93,IF($O93="T-F",(AV93*4),IF($O93="Su-F",(AV93*5)+AW93+AX93,(AV93*5+AW93+AX93))))))))</f>
        <v>46200</v>
      </c>
      <c r="BC93" s="211">
        <f>IF($O93="M-Sa",(BB93/6),IF($O93="m-su",(BB93/7),IF($O93="M-F",(BB93/5),IF($O93="T-Su",(BB93/6),IF($O93="T-Sa",(BB93/5),IF($O93="T-F",(BB93/4),IF($O93="Su-F",(BB93/6),(BB93/7))))))))</f>
        <v>7700</v>
      </c>
      <c r="BD93" s="212">
        <f>IF($O93="M-Sa",(AY93*5)+AZ93+BA93,IF($O93="m-su",(AY93*5)+AZ93+BA93,IF($O93="M-F",(AY93*5),IF($O93="T-Su",(AY93*4)+AZ93+BA93,IF($O93="T-Sa",(AY93*4)+AZ93,IF($O93="T-F",(AY93*4),IF($O93="Su-F",(AY93*5)+AZ93+BA93,(AY93*5+AZ93+BA93))))))))</f>
        <v>0</v>
      </c>
      <c r="BF93" s="19" t="s">
        <v>121</v>
      </c>
      <c r="BH93" s="23" t="s">
        <v>161</v>
      </c>
    </row>
    <row r="94" spans="1:61" s="5" customFormat="1">
      <c r="A94" s="159" t="s">
        <v>340</v>
      </c>
      <c r="B94" s="1" t="s">
        <v>14</v>
      </c>
      <c r="C94" s="1" t="s">
        <v>95</v>
      </c>
      <c r="D94" s="36" t="s">
        <v>189</v>
      </c>
      <c r="E94" s="3" t="s">
        <v>190</v>
      </c>
      <c r="F94" s="140">
        <v>64487</v>
      </c>
      <c r="G94" s="1" t="s">
        <v>34</v>
      </c>
      <c r="H94" s="1" t="s">
        <v>19</v>
      </c>
      <c r="I94" s="1">
        <v>10</v>
      </c>
      <c r="J94" s="1">
        <v>301</v>
      </c>
      <c r="K94" s="1">
        <f>I94*J94</f>
        <v>3010</v>
      </c>
      <c r="L94" s="84" t="s">
        <v>337</v>
      </c>
      <c r="M94" s="84" t="s">
        <v>576</v>
      </c>
      <c r="N94" s="1" t="s">
        <v>20</v>
      </c>
      <c r="O94" s="3" t="s">
        <v>45</v>
      </c>
      <c r="P94" s="4" t="s">
        <v>107</v>
      </c>
      <c r="Q94" s="2" t="s">
        <v>28</v>
      </c>
      <c r="R94" s="144"/>
      <c r="S94" s="142"/>
      <c r="T94" s="143"/>
      <c r="U94" s="142"/>
      <c r="V94" s="142"/>
      <c r="W94" s="142"/>
      <c r="X94" s="144"/>
      <c r="Y94" s="142"/>
      <c r="Z94" s="143"/>
      <c r="AA94" s="142"/>
      <c r="AB94" s="142"/>
      <c r="AC94" s="142"/>
      <c r="AD94" s="148"/>
      <c r="AE94" s="149"/>
      <c r="AF94" s="150"/>
      <c r="AG94" s="149"/>
      <c r="AH94" s="149"/>
      <c r="AI94" s="149"/>
      <c r="AJ94" s="148">
        <f>AD94+AG94</f>
        <v>0</v>
      </c>
      <c r="AK94" s="149">
        <f>AE94+AH94</f>
        <v>0</v>
      </c>
      <c r="AL94" s="150">
        <f>AF94+AI94</f>
        <v>0</v>
      </c>
      <c r="AM94" s="148"/>
      <c r="AN94" s="149"/>
      <c r="AO94" s="150"/>
      <c r="AP94" s="152">
        <v>15036</v>
      </c>
      <c r="AQ94" s="152">
        <v>16270</v>
      </c>
      <c r="AR94" s="152"/>
      <c r="AS94" s="151">
        <v>1021</v>
      </c>
      <c r="AT94" s="152">
        <v>507</v>
      </c>
      <c r="AU94" s="166"/>
      <c r="AV94" s="156">
        <f>AP94+AS94</f>
        <v>16057</v>
      </c>
      <c r="AW94" s="156">
        <f>AQ94+AT94</f>
        <v>16777</v>
      </c>
      <c r="AX94" s="156">
        <f>AR94+AU94</f>
        <v>0</v>
      </c>
      <c r="AY94" s="151">
        <v>83</v>
      </c>
      <c r="AZ94" s="152">
        <v>83</v>
      </c>
      <c r="BA94" s="166"/>
      <c r="BB94" s="157">
        <f>IF($O94="M-Sa",(AV94*5)+AW94+AX94,IF($O94="m-su",(AV94*5)+AW94+AX94,IF($O94="M-F",(AV94*5),IF($O94="T-Su",(AV94*4)+AW94+AX94,IF($O94="T-Sa",(AV94*4)+AW94,IF($O94="T-F",(AV94*4),IF($O94="Su-F",(AV94*5)+AW94+AX94,(AV94*5+AW94+AX94))))))))</f>
        <v>97062</v>
      </c>
      <c r="BC94" s="157">
        <f>IF($O94="M-Sa",(BB94/6),IF($O94="m-su",(BB94/7),IF($O94="M-F",(BB94/5),IF($O94="T-Su",(BB94/6),IF($O94="T-Sa",(BB94/5),IF($O94="T-F",(BB94/4),IF($O94="Su-F",(BB94/6),(BB94/7))))))))</f>
        <v>16177</v>
      </c>
      <c r="BD94" s="167">
        <f>IF($O94="M-Sa",(AY94*5)+AZ94+BA94,IF($O94="m-su",(AY94*5)+AZ94+BA94,IF($O94="M-F",(AY94*5),IF($O94="T-Su",(AY94*4)+AZ94+BA94,IF($O94="T-Sa",(AY94*4)+AZ94,IF($O94="T-F",(AY94*4),IF($O94="Su-F",(AY94*5)+AZ94+BA94,(AY94*5+AZ94+BA94))))))))</f>
        <v>498</v>
      </c>
      <c r="BF94" s="6"/>
      <c r="BI94" s="8"/>
    </row>
    <row r="95" spans="1:61" s="5" customFormat="1">
      <c r="A95" s="159" t="s">
        <v>459</v>
      </c>
      <c r="B95" s="1" t="s">
        <v>14</v>
      </c>
      <c r="C95" s="1" t="s">
        <v>95</v>
      </c>
      <c r="D95" s="1" t="s">
        <v>189</v>
      </c>
      <c r="E95" s="3" t="s">
        <v>191</v>
      </c>
      <c r="F95" s="140">
        <v>16488</v>
      </c>
      <c r="G95" s="1" t="s">
        <v>53</v>
      </c>
      <c r="H95" s="1" t="s">
        <v>19</v>
      </c>
      <c r="I95" s="1">
        <v>10</v>
      </c>
      <c r="J95" s="1">
        <v>301</v>
      </c>
      <c r="K95" s="1">
        <f>I95*J95</f>
        <v>3010</v>
      </c>
      <c r="L95" s="84" t="s">
        <v>460</v>
      </c>
      <c r="M95" s="84" t="s">
        <v>576</v>
      </c>
      <c r="N95" s="1" t="s">
        <v>35</v>
      </c>
      <c r="O95" s="3" t="s">
        <v>45</v>
      </c>
      <c r="P95" s="4" t="s">
        <v>107</v>
      </c>
      <c r="Q95" s="2" t="s">
        <v>28</v>
      </c>
      <c r="R95" s="144"/>
      <c r="S95" s="142"/>
      <c r="T95" s="143"/>
      <c r="U95" s="142"/>
      <c r="V95" s="142"/>
      <c r="W95" s="142"/>
      <c r="X95" s="144"/>
      <c r="Y95" s="142"/>
      <c r="Z95" s="143"/>
      <c r="AA95" s="142"/>
      <c r="AB95" s="142"/>
      <c r="AC95" s="142"/>
      <c r="AD95" s="148"/>
      <c r="AE95" s="149"/>
      <c r="AF95" s="150"/>
      <c r="AG95" s="149"/>
      <c r="AH95" s="149"/>
      <c r="AI95" s="149"/>
      <c r="AJ95" s="148">
        <f>AD95+AG95</f>
        <v>0</v>
      </c>
      <c r="AK95" s="149">
        <f>AE95+AH95</f>
        <v>0</v>
      </c>
      <c r="AL95" s="150">
        <f>AF95+AI95</f>
        <v>0</v>
      </c>
      <c r="AM95" s="148"/>
      <c r="AN95" s="149"/>
      <c r="AO95" s="150"/>
      <c r="AP95" s="152">
        <v>6333</v>
      </c>
      <c r="AQ95" s="152">
        <v>6440</v>
      </c>
      <c r="AR95" s="152"/>
      <c r="AS95" s="151">
        <v>215</v>
      </c>
      <c r="AT95" s="152">
        <v>170</v>
      </c>
      <c r="AU95" s="166"/>
      <c r="AV95" s="156">
        <f>AP95+AS95</f>
        <v>6548</v>
      </c>
      <c r="AW95" s="156">
        <f>AQ95+AT95</f>
        <v>6610</v>
      </c>
      <c r="AX95" s="156">
        <f>AR95+AU95</f>
        <v>0</v>
      </c>
      <c r="AY95" s="151">
        <v>15</v>
      </c>
      <c r="AZ95" s="152">
        <v>15</v>
      </c>
      <c r="BA95" s="166"/>
      <c r="BB95" s="157">
        <f>IF($O95="M-Sa",(AV95*5)+AW95+AX95,IF($O95="m-su",(AV95*5)+AW95+AX95,IF($O95="M-F",(AV95*5),IF($O95="T-Su",(AV95*4)+AW95+AX95,IF($O95="T-Sa",(AV95*4)+AW95,IF($O95="T-F",(AV95*4),IF($O95="Su-F",(AV95*5)+AW95+AX95,(AV95*5+AW95+AX95))))))))</f>
        <v>39350</v>
      </c>
      <c r="BC95" s="157">
        <f>IF($O95="M-Sa",(BB95/6),IF($O95="m-su",(BB95/7),IF($O95="M-F",(BB95/5),IF($O95="T-Su",(BB95/6),IF($O95="T-Sa",(BB95/5),IF($O95="T-F",(BB95/4),IF($O95="Su-F",(BB95/6),(BB95/7))))))))</f>
        <v>6558.333333333333</v>
      </c>
      <c r="BD95" s="167">
        <f>IF($O95="M-Sa",(AY95*5)+AZ95+BA95,IF($O95="m-su",(AY95*5)+AZ95+BA95,IF($O95="M-F",(AY95*5),IF($O95="T-Su",(AY95*4)+AZ95+BA95,IF($O95="T-Sa",(AY95*4)+AZ95,IF($O95="T-F",(AY95*4),IF($O95="Su-F",(AY95*5)+AZ95+BA95,(AY95*5+AZ95+BA95))))))))</f>
        <v>90</v>
      </c>
    </row>
    <row r="96" spans="1:61" s="8" customFormat="1">
      <c r="A96" s="159" t="s">
        <v>461</v>
      </c>
      <c r="B96" s="1" t="s">
        <v>94</v>
      </c>
      <c r="C96" s="1" t="s">
        <v>193</v>
      </c>
      <c r="D96" s="1" t="s">
        <v>194</v>
      </c>
      <c r="E96" s="3" t="s">
        <v>195</v>
      </c>
      <c r="F96" s="140">
        <v>106666</v>
      </c>
      <c r="G96" s="1" t="s">
        <v>41</v>
      </c>
      <c r="H96" s="1" t="s">
        <v>26</v>
      </c>
      <c r="I96" s="1">
        <v>10</v>
      </c>
      <c r="J96" s="1">
        <v>195</v>
      </c>
      <c r="K96" s="1">
        <f>I96*J96</f>
        <v>1950</v>
      </c>
      <c r="L96" s="84"/>
      <c r="M96" s="84" t="s">
        <v>576</v>
      </c>
      <c r="N96" s="1" t="s">
        <v>20</v>
      </c>
      <c r="O96" s="3" t="s">
        <v>21</v>
      </c>
      <c r="P96" s="4" t="s">
        <v>155</v>
      </c>
      <c r="Q96" s="2" t="s">
        <v>23</v>
      </c>
      <c r="R96" s="144">
        <f>27568-1102</f>
        <v>26466</v>
      </c>
      <c r="S96" s="142">
        <f>33056-1210</f>
        <v>31846</v>
      </c>
      <c r="T96" s="143">
        <f>29254-3673</f>
        <v>25581</v>
      </c>
      <c r="U96" s="142">
        <f>1102+86</f>
        <v>1188</v>
      </c>
      <c r="V96" s="142">
        <f>1210+75</f>
        <v>1285</v>
      </c>
      <c r="W96" s="142">
        <f>3673+86</f>
        <v>3759</v>
      </c>
      <c r="X96" s="144">
        <f>R96+U96</f>
        <v>27654</v>
      </c>
      <c r="Y96" s="142">
        <f>S96+V96</f>
        <v>33131</v>
      </c>
      <c r="Z96" s="143">
        <f>T96+W96</f>
        <v>29340</v>
      </c>
      <c r="AA96" s="142"/>
      <c r="AB96" s="142"/>
      <c r="AC96" s="142"/>
      <c r="AD96" s="148">
        <v>23213</v>
      </c>
      <c r="AE96" s="149">
        <v>23076</v>
      </c>
      <c r="AF96" s="150">
        <v>28848</v>
      </c>
      <c r="AG96" s="149">
        <v>2289</v>
      </c>
      <c r="AH96" s="149">
        <v>1746</v>
      </c>
      <c r="AI96" s="149">
        <v>6062</v>
      </c>
      <c r="AJ96" s="148">
        <f>AD96+AG96</f>
        <v>25502</v>
      </c>
      <c r="AK96" s="149">
        <f>AE96+AH96</f>
        <v>24822</v>
      </c>
      <c r="AL96" s="150">
        <f>AF96+AI96</f>
        <v>34910</v>
      </c>
      <c r="AM96" s="148">
        <v>3327</v>
      </c>
      <c r="AN96" s="149">
        <v>3327</v>
      </c>
      <c r="AO96" s="150">
        <v>2938</v>
      </c>
      <c r="AP96" s="152">
        <f>AVERAGE(R96,AD96)</f>
        <v>24839.5</v>
      </c>
      <c r="AQ96" s="152">
        <f>AVERAGE(S96,AE96)</f>
        <v>27461</v>
      </c>
      <c r="AR96" s="152">
        <f>AVERAGE(T96,AF96)</f>
        <v>27214.5</v>
      </c>
      <c r="AS96" s="151">
        <f>AVERAGE(U96,AG96)</f>
        <v>1738.5</v>
      </c>
      <c r="AT96" s="152">
        <f>AVERAGE(V96,AH96)</f>
        <v>1515.5</v>
      </c>
      <c r="AU96" s="166">
        <f>AVERAGE(W96,AI96)</f>
        <v>4910.5</v>
      </c>
      <c r="AV96" s="156">
        <f>AVERAGE(X96,AJ96)</f>
        <v>26578</v>
      </c>
      <c r="AW96" s="156">
        <f>AVERAGE(Y96,AK96)</f>
        <v>28976.5</v>
      </c>
      <c r="AX96" s="156">
        <f>AVERAGE(Z96,AL96)</f>
        <v>32125</v>
      </c>
      <c r="AY96" s="151">
        <f>AVERAGE(AA96,AM96)</f>
        <v>3327</v>
      </c>
      <c r="AZ96" s="152">
        <f>AVERAGE(AB96,AN96)</f>
        <v>3327</v>
      </c>
      <c r="BA96" s="166">
        <f>AVERAGE(AC96,AO96)</f>
        <v>2938</v>
      </c>
      <c r="BB96" s="157">
        <f>IF($O96="M-Sa",(AV96*5)+AW96+AX96,IF($O96="m-su",(AV96*5)+AW96+AX96,IF($O96="M-F",(AV96*5),IF($O96="T-Su",(AV96*4)+AW96+AX96,IF($O96="T-Sa",(AV96*4)+AW96,IF($O96="T-F",(AV96*4),IF($O96="Su-F",(AV96*5)+AW96+AX96,(AV96*5+AW96+AX96))))))))</f>
        <v>193991.5</v>
      </c>
      <c r="BC96" s="157">
        <f>IF($O96="M-Sa",(BB96/6),IF($O96="m-su",(BB96/7),IF($O96="M-F",(BB96/5),IF($O96="T-Su",(BB96/6),IF($O96="T-Sa",(BB96/5),IF($O96="T-F",(BB96/4),IF($O96="Su-F",(BB96/6),(BB96/7))))))))</f>
        <v>27713.071428571428</v>
      </c>
      <c r="BD96" s="167">
        <f>IF($O96="M-Sa",(AY96*5)+AZ96+BA96,IF($O96="m-su",(AY96*5)+AZ96+BA96,IF($O96="M-F",(AY96*5),IF($O96="T-Su",(AY96*4)+AZ96+BA96,IF($O96="T-Sa",(AY96*4)+AZ96,IF($O96="T-F",(AY96*4),IF($O96="Su-F",(AY96*5)+AZ96+BA96,(AY96*5+AZ96+BA96))))))))</f>
        <v>22900</v>
      </c>
      <c r="BE96" s="5" t="s">
        <v>55</v>
      </c>
      <c r="BF96" s="9" t="s">
        <v>55</v>
      </c>
      <c r="BG96" s="9"/>
      <c r="BH96" s="13" t="s">
        <v>55</v>
      </c>
      <c r="BI96" s="10"/>
    </row>
    <row r="97" spans="1:61" s="16" customFormat="1">
      <c r="A97" s="159" t="s">
        <v>462</v>
      </c>
      <c r="B97" s="1" t="s">
        <v>94</v>
      </c>
      <c r="C97" s="1" t="s">
        <v>193</v>
      </c>
      <c r="D97" s="36" t="s">
        <v>194</v>
      </c>
      <c r="E97" s="3" t="s">
        <v>196</v>
      </c>
      <c r="F97" s="140">
        <v>77077</v>
      </c>
      <c r="G97" s="1" t="s">
        <v>34</v>
      </c>
      <c r="H97" s="1" t="s">
        <v>26</v>
      </c>
      <c r="I97" s="1">
        <v>10</v>
      </c>
      <c r="J97" s="1">
        <v>200</v>
      </c>
      <c r="K97" s="1">
        <f>I97*J97</f>
        <v>2000</v>
      </c>
      <c r="L97" s="84"/>
      <c r="M97" s="84" t="s">
        <v>576</v>
      </c>
      <c r="N97" s="1" t="s">
        <v>20</v>
      </c>
      <c r="O97" s="3" t="s">
        <v>45</v>
      </c>
      <c r="P97" s="4" t="s">
        <v>155</v>
      </c>
      <c r="Q97" s="2" t="s">
        <v>23</v>
      </c>
      <c r="R97" s="144">
        <f>15164-1762</f>
        <v>13402</v>
      </c>
      <c r="S97" s="142">
        <f>15607-493</f>
        <v>15114</v>
      </c>
      <c r="T97" s="143"/>
      <c r="U97" s="142">
        <f>1762+10</f>
        <v>1772</v>
      </c>
      <c r="V97" s="142">
        <f>493+10</f>
        <v>503</v>
      </c>
      <c r="W97" s="142"/>
      <c r="X97" s="144">
        <f>R97+U97</f>
        <v>15174</v>
      </c>
      <c r="Y97" s="142">
        <f>S97+V97</f>
        <v>15617</v>
      </c>
      <c r="Z97" s="143"/>
      <c r="AA97" s="142"/>
      <c r="AB97" s="142"/>
      <c r="AC97" s="142"/>
      <c r="AD97" s="148">
        <v>12611</v>
      </c>
      <c r="AE97" s="149">
        <v>14227</v>
      </c>
      <c r="AF97" s="150"/>
      <c r="AG97" s="149">
        <v>4680</v>
      </c>
      <c r="AH97" s="149">
        <v>678</v>
      </c>
      <c r="AI97" s="149"/>
      <c r="AJ97" s="148">
        <f>AD97+AG97</f>
        <v>17291</v>
      </c>
      <c r="AK97" s="149">
        <f>AE97+AH97</f>
        <v>14905</v>
      </c>
      <c r="AL97" s="150">
        <f>AF97+AI97</f>
        <v>0</v>
      </c>
      <c r="AM97" s="148">
        <v>1229</v>
      </c>
      <c r="AN97" s="149">
        <v>1315</v>
      </c>
      <c r="AO97" s="150"/>
      <c r="AP97" s="152">
        <f>AVERAGE(R97,AD97)</f>
        <v>13006.5</v>
      </c>
      <c r="AQ97" s="152">
        <f>AVERAGE(S97,AE97)</f>
        <v>14670.5</v>
      </c>
      <c r="AR97" s="152"/>
      <c r="AS97" s="151">
        <f>AVERAGE(U97,AG97)</f>
        <v>3226</v>
      </c>
      <c r="AT97" s="152">
        <f>AVERAGE(V97,AH97)</f>
        <v>590.5</v>
      </c>
      <c r="AU97" s="166"/>
      <c r="AV97" s="156">
        <f>AVERAGE(X97,AJ97)</f>
        <v>16232.5</v>
      </c>
      <c r="AW97" s="156">
        <f>AVERAGE(Y97,AK97)</f>
        <v>15261</v>
      </c>
      <c r="AX97" s="156">
        <f>AVERAGE(Z97,AL97)</f>
        <v>0</v>
      </c>
      <c r="AY97" s="151">
        <f>AVERAGE(AA97,AM97)</f>
        <v>1229</v>
      </c>
      <c r="AZ97" s="152">
        <f>AVERAGE(AB97,AN97)</f>
        <v>1315</v>
      </c>
      <c r="BA97" s="166"/>
      <c r="BB97" s="157">
        <f>IF($O97="M-Sa",(AV97*5)+AW97+AX97,IF($O97="m-su",(AV97*5)+AW97+AX97,IF($O97="M-F",(AV97*5),IF($O97="T-Su",(AV97*4)+AW97+AX97,IF($O97="T-Sa",(AV97*4)+AW97,IF($O97="T-F",(AV97*4),IF($O97="Su-F",(AV97*5)+AW97+AX97,(AV97*5+AW97+AX97))))))))</f>
        <v>96423.5</v>
      </c>
      <c r="BC97" s="157">
        <f>IF($O97="M-Sa",(BB97/6),IF($O97="m-su",(BB97/7),IF($O97="M-F",(BB97/5),IF($O97="T-Su",(BB97/6),IF($O97="T-Sa",(BB97/5),IF($O97="T-F",(BB97/4),IF($O97="Su-F",(BB97/6),(BB97/7))))))))</f>
        <v>16070.583333333334</v>
      </c>
      <c r="BD97" s="167">
        <f>IF($O97="M-Sa",(AY97*5)+AZ97+BA97,IF($O97="m-su",(AY97*5)+AZ97+BA97,IF($O97="M-F",(AY97*5),IF($O97="T-Su",(AY97*4)+AZ97+BA97,IF($O97="T-Sa",(AY97*4)+AZ97,IF($O97="T-F",(AY97*4),IF($O97="Su-F",(AY97*5)+AZ97+BA97,(AY97*5+AZ97+BA97))))))))</f>
        <v>7460</v>
      </c>
      <c r="BE97" s="5"/>
      <c r="BF97" s="6"/>
      <c r="BG97" s="6"/>
      <c r="BH97" s="5"/>
      <c r="BI97" s="10"/>
    </row>
    <row r="98" spans="1:61" s="5" customFormat="1">
      <c r="A98" s="159" t="s">
        <v>463</v>
      </c>
      <c r="B98" s="1" t="s">
        <v>94</v>
      </c>
      <c r="C98" s="1" t="s">
        <v>193</v>
      </c>
      <c r="D98" s="36" t="s">
        <v>194</v>
      </c>
      <c r="E98" s="3" t="s">
        <v>197</v>
      </c>
      <c r="F98" s="140">
        <v>3957700</v>
      </c>
      <c r="G98" s="1" t="s">
        <v>18</v>
      </c>
      <c r="H98" s="1" t="s">
        <v>19</v>
      </c>
      <c r="I98" s="1"/>
      <c r="J98" s="1"/>
      <c r="K98" s="1">
        <f>I98*J98</f>
        <v>0</v>
      </c>
      <c r="L98" s="84"/>
      <c r="M98" s="84" t="s">
        <v>576</v>
      </c>
      <c r="N98" s="1" t="s">
        <v>20</v>
      </c>
      <c r="O98" s="3" t="s">
        <v>45</v>
      </c>
      <c r="P98" s="4" t="s">
        <v>155</v>
      </c>
      <c r="Q98" s="2" t="s">
        <v>23</v>
      </c>
      <c r="R98" s="144">
        <f>215172-25502</f>
        <v>189670</v>
      </c>
      <c r="S98" s="142">
        <f>262385-17164</f>
        <v>245221</v>
      </c>
      <c r="T98" s="143"/>
      <c r="U98" s="142">
        <f>25502+543</f>
        <v>26045</v>
      </c>
      <c r="V98" s="142">
        <f>17164+487</f>
        <v>17651</v>
      </c>
      <c r="W98" s="142"/>
      <c r="X98" s="144">
        <f>R98+U98</f>
        <v>215715</v>
      </c>
      <c r="Y98" s="142">
        <f>S98+V98</f>
        <v>262872</v>
      </c>
      <c r="Z98" s="143"/>
      <c r="AA98" s="142"/>
      <c r="AB98" s="142"/>
      <c r="AC98" s="142"/>
      <c r="AD98" s="148">
        <v>166020</v>
      </c>
      <c r="AE98" s="149">
        <v>221517</v>
      </c>
      <c r="AF98" s="150"/>
      <c r="AG98" s="149">
        <v>101583</v>
      </c>
      <c r="AH98" s="149">
        <v>99558</v>
      </c>
      <c r="AI98" s="149"/>
      <c r="AJ98" s="148">
        <f>AD98+AG98</f>
        <v>267603</v>
      </c>
      <c r="AK98" s="149">
        <f>AE98+AH98</f>
        <v>321075</v>
      </c>
      <c r="AL98" s="150">
        <f>AF98+AI98</f>
        <v>0</v>
      </c>
      <c r="AM98" s="148">
        <f>23952+64260</f>
        <v>88212</v>
      </c>
      <c r="AN98" s="149">
        <f>24184+70538</f>
        <v>94722</v>
      </c>
      <c r="AO98" s="150"/>
      <c r="AP98" s="152">
        <f>AVERAGE(R98,AD98)</f>
        <v>177845</v>
      </c>
      <c r="AQ98" s="152">
        <f>AVERAGE(S98,AE98)</f>
        <v>233369</v>
      </c>
      <c r="AR98" s="152"/>
      <c r="AS98" s="151">
        <f>AVERAGE(U98,AG98)</f>
        <v>63814</v>
      </c>
      <c r="AT98" s="152">
        <f>AVERAGE(V98,AH98)</f>
        <v>58604.5</v>
      </c>
      <c r="AU98" s="166"/>
      <c r="AV98" s="156">
        <f>AVERAGE(X98,AJ98)</f>
        <v>241659</v>
      </c>
      <c r="AW98" s="156">
        <f>AVERAGE(Y98,AK98)</f>
        <v>291973.5</v>
      </c>
      <c r="AX98" s="156">
        <f>AVERAGE(Z98,AL98)</f>
        <v>0</v>
      </c>
      <c r="AY98" s="151">
        <f>AVERAGE(AA98,AM98)</f>
        <v>88212</v>
      </c>
      <c r="AZ98" s="152">
        <f>AVERAGE(AB98,AN98)</f>
        <v>94722</v>
      </c>
      <c r="BA98" s="166"/>
      <c r="BB98" s="157">
        <f>IF($O98="M-Sa",(AV98*5)+AW98+AX98,IF($O98="m-su",(AV98*5)+AW98+AX98,IF($O98="M-F",(AV98*5),IF($O98="T-Su",(AV98*4)+AW98+AX98,IF($O98="T-Sa",(AV98*4)+AW98,IF($O98="T-F",(AV98*4),IF($O98="Su-F",(AV98*5)+AW98+AX98,(AV98*5+AW98+AX98))))))))</f>
        <v>1500268.5</v>
      </c>
      <c r="BC98" s="157">
        <f>IF($O98="M-Sa",(BB98/6),IF($O98="m-su",(BB98/7),IF($O98="M-F",(BB98/5),IF($O98="T-Su",(BB98/6),IF($O98="T-Sa",(BB98/5),IF($O98="T-F",(BB98/4),IF($O98="Su-F",(BB98/6),(BB98/7))))))))</f>
        <v>250044.75</v>
      </c>
      <c r="BD98" s="167">
        <f>IF($O98="M-Sa",(AY98*5)+AZ98+BA98,IF($O98="m-su",(AY98*5)+AZ98+BA98,IF($O98="M-F",(AY98*5),IF($O98="T-Su",(AY98*4)+AZ98+BA98,IF($O98="T-Sa",(AY98*4)+AZ98,IF($O98="T-F",(AY98*4),IF($O98="Su-F",(AY98*5)+AZ98+BA98,(AY98*5+AZ98+BA98))))))))</f>
        <v>535782</v>
      </c>
      <c r="BF98" s="6"/>
      <c r="BG98" s="6"/>
    </row>
    <row r="99" spans="1:61" s="5" customFormat="1">
      <c r="A99" s="159" t="s">
        <v>464</v>
      </c>
      <c r="B99" s="1" t="s">
        <v>94</v>
      </c>
      <c r="C99" s="1" t="s">
        <v>193</v>
      </c>
      <c r="D99" s="36" t="s">
        <v>194</v>
      </c>
      <c r="E99" s="3" t="s">
        <v>197</v>
      </c>
      <c r="F99" s="140">
        <v>3957700</v>
      </c>
      <c r="G99" s="1" t="s">
        <v>18</v>
      </c>
      <c r="H99" s="1" t="s">
        <v>19</v>
      </c>
      <c r="I99" s="1">
        <v>12</v>
      </c>
      <c r="J99" s="1">
        <v>290</v>
      </c>
      <c r="K99" s="1">
        <f>I99*J99</f>
        <v>3480</v>
      </c>
      <c r="L99" s="84"/>
      <c r="M99" s="84" t="s">
        <v>576</v>
      </c>
      <c r="N99" s="1" t="s">
        <v>20</v>
      </c>
      <c r="O99" s="3" t="s">
        <v>45</v>
      </c>
      <c r="P99" s="4" t="s">
        <v>98</v>
      </c>
      <c r="Q99" s="2" t="s">
        <v>23</v>
      </c>
      <c r="R99" s="144">
        <f>32167-1572</f>
        <v>30595</v>
      </c>
      <c r="S99" s="142">
        <f>51702-2758</f>
        <v>48944</v>
      </c>
      <c r="T99" s="143"/>
      <c r="U99" s="142">
        <f>1572+296</f>
        <v>1868</v>
      </c>
      <c r="V99" s="142">
        <f>2758+305</f>
        <v>3063</v>
      </c>
      <c r="W99" s="142"/>
      <c r="X99" s="144">
        <f>R99+U99</f>
        <v>32463</v>
      </c>
      <c r="Y99" s="142">
        <f>S99+V99</f>
        <v>52007</v>
      </c>
      <c r="Z99" s="143"/>
      <c r="AA99" s="142"/>
      <c r="AB99" s="142"/>
      <c r="AC99" s="142"/>
      <c r="AD99" s="148">
        <v>28468</v>
      </c>
      <c r="AE99" s="149">
        <v>46186</v>
      </c>
      <c r="AF99" s="150"/>
      <c r="AG99" s="149">
        <v>2873</v>
      </c>
      <c r="AH99" s="149">
        <v>5290</v>
      </c>
      <c r="AI99" s="149"/>
      <c r="AJ99" s="148">
        <f>AD99+AG99</f>
        <v>31341</v>
      </c>
      <c r="AK99" s="149">
        <f>AE99+AH99</f>
        <v>51476</v>
      </c>
      <c r="AL99" s="150">
        <f>AF99+AI99</f>
        <v>0</v>
      </c>
      <c r="AM99" s="148">
        <v>6950</v>
      </c>
      <c r="AN99" s="149">
        <v>8237</v>
      </c>
      <c r="AO99" s="150"/>
      <c r="AP99" s="152">
        <f>AVERAGE(R99,AD99)</f>
        <v>29531.5</v>
      </c>
      <c r="AQ99" s="152">
        <f>AVERAGE(S99,AE99)</f>
        <v>47565</v>
      </c>
      <c r="AR99" s="152"/>
      <c r="AS99" s="151">
        <f>AVERAGE(U99,AG99)</f>
        <v>2370.5</v>
      </c>
      <c r="AT99" s="152">
        <f>AVERAGE(V99,AH99)</f>
        <v>4176.5</v>
      </c>
      <c r="AU99" s="166"/>
      <c r="AV99" s="156">
        <f>AVERAGE(X99,AJ99)</f>
        <v>31902</v>
      </c>
      <c r="AW99" s="156">
        <f>AVERAGE(Y99,AK99)</f>
        <v>51741.5</v>
      </c>
      <c r="AX99" s="156">
        <f>AVERAGE(Z99,AL99)</f>
        <v>0</v>
      </c>
      <c r="AY99" s="151">
        <f>AVERAGE(AA99,AM99)</f>
        <v>6950</v>
      </c>
      <c r="AZ99" s="152">
        <f>AVERAGE(AB99,AN99)</f>
        <v>8237</v>
      </c>
      <c r="BA99" s="166"/>
      <c r="BB99" s="157">
        <f>IF($O99="M-Sa",(AV99*5)+AW99+AX99,IF($O99="m-su",(AV99*5)+AW99+AX99,IF($O99="M-F",(AV99*5),IF($O99="T-Su",(AV99*4)+AW99+AX99,IF($O99="T-Sa",(AV99*4)+AW99,IF($O99="T-F",(AV99*4),IF($O99="Su-F",(AV99*5)+AW99+AX99,(AV99*5+AW99+AX99))))))))</f>
        <v>211251.5</v>
      </c>
      <c r="BC99" s="157">
        <f>IF($O99="M-Sa",(BB99/6),IF($O99="m-su",(BB99/7),IF($O99="M-F",(BB99/5),IF($O99="T-Su",(BB99/6),IF($O99="T-Sa",(BB99/5),IF($O99="T-F",(BB99/4),IF($O99="Su-F",(BB99/6),(BB99/7))))))))</f>
        <v>35208.583333333336</v>
      </c>
      <c r="BD99" s="167">
        <f>IF($O99="M-Sa",(AY99*5)+AZ99+BA99,IF($O99="m-su",(AY99*5)+AZ99+BA99,IF($O99="M-F",(AY99*5),IF($O99="T-Su",(AY99*4)+AZ99+BA99,IF($O99="T-Sa",(AY99*4)+AZ99,IF($O99="T-F",(AY99*4),IF($O99="Su-F",(AY99*5)+AZ99+BA99,(AY99*5+AZ99+BA99))))))))</f>
        <v>42987</v>
      </c>
      <c r="BF99" s="6"/>
      <c r="BG99" s="6"/>
    </row>
    <row r="100" spans="1:61" s="5" customFormat="1">
      <c r="A100" s="159" t="s">
        <v>465</v>
      </c>
      <c r="B100" s="1" t="s">
        <v>14</v>
      </c>
      <c r="C100" s="1" t="s">
        <v>193</v>
      </c>
      <c r="D100" s="36" t="s">
        <v>194</v>
      </c>
      <c r="E100" s="3" t="s">
        <v>197</v>
      </c>
      <c r="F100" s="140">
        <v>3957700</v>
      </c>
      <c r="G100" s="1" t="s">
        <v>18</v>
      </c>
      <c r="H100" s="1" t="s">
        <v>19</v>
      </c>
      <c r="I100" s="1">
        <v>10</v>
      </c>
      <c r="J100" s="1">
        <v>292</v>
      </c>
      <c r="K100" s="1">
        <f>I100*J100</f>
        <v>2920</v>
      </c>
      <c r="L100" s="84" t="s">
        <v>338</v>
      </c>
      <c r="M100" s="84" t="s">
        <v>576</v>
      </c>
      <c r="N100" s="1" t="s">
        <v>20</v>
      </c>
      <c r="O100" s="3" t="s">
        <v>45</v>
      </c>
      <c r="P100" s="4" t="s">
        <v>22</v>
      </c>
      <c r="Q100" s="2" t="s">
        <v>23</v>
      </c>
      <c r="R100" s="144">
        <f>105783-12129</f>
        <v>93654</v>
      </c>
      <c r="S100" s="142">
        <f>118807-7260</f>
        <v>111547</v>
      </c>
      <c r="T100" s="143"/>
      <c r="U100" s="142">
        <f>12129+200</f>
        <v>12329</v>
      </c>
      <c r="V100" s="142">
        <f>7260+179</f>
        <v>7439</v>
      </c>
      <c r="W100" s="142"/>
      <c r="X100" s="144">
        <f>R100+U100</f>
        <v>105983</v>
      </c>
      <c r="Y100" s="142">
        <f>S100+V100</f>
        <v>118986</v>
      </c>
      <c r="Z100" s="143"/>
      <c r="AA100" s="142"/>
      <c r="AB100" s="142"/>
      <c r="AC100" s="142"/>
      <c r="AD100" s="148">
        <v>67587</v>
      </c>
      <c r="AE100" s="149">
        <v>87589</v>
      </c>
      <c r="AF100" s="150"/>
      <c r="AG100" s="149">
        <v>29951</v>
      </c>
      <c r="AH100" s="149">
        <v>25434</v>
      </c>
      <c r="AI100" s="149"/>
      <c r="AJ100" s="148">
        <f>AD100+AG100</f>
        <v>97538</v>
      </c>
      <c r="AK100" s="149">
        <f>AE100+AH100</f>
        <v>113023</v>
      </c>
      <c r="AL100" s="150">
        <f>AF100+AI100</f>
        <v>0</v>
      </c>
      <c r="AM100" s="148">
        <v>26594</v>
      </c>
      <c r="AN100" s="149">
        <v>24737</v>
      </c>
      <c r="AO100" s="150"/>
      <c r="AP100" s="152">
        <f>AVERAGE(R100,AD100)</f>
        <v>80620.5</v>
      </c>
      <c r="AQ100" s="152">
        <f>AVERAGE(S100,AE100)</f>
        <v>99568</v>
      </c>
      <c r="AR100" s="152"/>
      <c r="AS100" s="151">
        <f>AVERAGE(U100,AG100)</f>
        <v>21140</v>
      </c>
      <c r="AT100" s="152">
        <f>AVERAGE(V100,AH100)</f>
        <v>16436.5</v>
      </c>
      <c r="AU100" s="166"/>
      <c r="AV100" s="156">
        <f>AVERAGE(X100,AJ100)</f>
        <v>101760.5</v>
      </c>
      <c r="AW100" s="156">
        <f>AVERAGE(Y100,AK100)</f>
        <v>116004.5</v>
      </c>
      <c r="AX100" s="156">
        <f>AVERAGE(Z100,AL100)</f>
        <v>0</v>
      </c>
      <c r="AY100" s="151">
        <f>AVERAGE(AA100,AM100)</f>
        <v>26594</v>
      </c>
      <c r="AZ100" s="152">
        <f>AVERAGE(AB100,AN100)</f>
        <v>24737</v>
      </c>
      <c r="BA100" s="166"/>
      <c r="BB100" s="157">
        <f>IF($O100="M-Sa",(AV100*5)+AW100+AX100,IF($O100="m-su",(AV100*5)+AW100+AX100,IF($O100="M-F",(AV100*5),IF($O100="T-Su",(AV100*4)+AW100+AX100,IF($O100="T-Sa",(AV100*4)+AW100,IF($O100="T-F",(AV100*4),IF($O100="Su-F",(AV100*5)+AW100+AX100,(AV100*5+AW100+AX100))))))))</f>
        <v>624807</v>
      </c>
      <c r="BC100" s="157">
        <f>IF($O100="M-Sa",(BB100/6),IF($O100="m-su",(BB100/7),IF($O100="M-F",(BB100/5),IF($O100="T-Su",(BB100/6),IF($O100="T-Sa",(BB100/5),IF($O100="T-F",(BB100/4),IF($O100="Su-F",(BB100/6),(BB100/7))))))))</f>
        <v>104134.5</v>
      </c>
      <c r="BD100" s="167">
        <f>IF($O100="M-Sa",(AY100*5)+AZ100+BA100,IF($O100="m-su",(AY100*5)+AZ100+BA100,IF($O100="M-F",(AY100*5),IF($O100="T-Su",(AY100*4)+AZ100+BA100,IF($O100="T-Sa",(AY100*4)+AZ100,IF($O100="T-F",(AY100*4),IF($O100="Su-F",(AY100*5)+AZ100+BA100,(AY100*5+AZ100+BA100))))))))</f>
        <v>157707</v>
      </c>
      <c r="BF100" s="6"/>
      <c r="BG100" s="6"/>
      <c r="BI100" s="7"/>
    </row>
    <row r="101" spans="1:61" s="16" customFormat="1">
      <c r="A101" s="159" t="s">
        <v>198</v>
      </c>
      <c r="B101" s="1" t="s">
        <v>94</v>
      </c>
      <c r="C101" s="1" t="s">
        <v>193</v>
      </c>
      <c r="D101" s="36" t="s">
        <v>194</v>
      </c>
      <c r="E101" s="3" t="s">
        <v>197</v>
      </c>
      <c r="F101" s="140">
        <v>3957700</v>
      </c>
      <c r="G101" s="1" t="s">
        <v>18</v>
      </c>
      <c r="H101" s="1" t="s">
        <v>26</v>
      </c>
      <c r="I101" s="1">
        <v>8</v>
      </c>
      <c r="J101" s="1">
        <v>176</v>
      </c>
      <c r="K101" s="1">
        <f>I101*J101</f>
        <v>1408</v>
      </c>
      <c r="L101" s="84" t="s">
        <v>333</v>
      </c>
      <c r="M101" s="84" t="s">
        <v>576</v>
      </c>
      <c r="N101" s="1" t="s">
        <v>20</v>
      </c>
      <c r="O101" s="3" t="s">
        <v>21</v>
      </c>
      <c r="P101" s="4" t="s">
        <v>27</v>
      </c>
      <c r="Q101" s="2" t="s">
        <v>28</v>
      </c>
      <c r="R101" s="144"/>
      <c r="S101" s="142"/>
      <c r="T101" s="143"/>
      <c r="U101" s="142"/>
      <c r="V101" s="142"/>
      <c r="W101" s="142"/>
      <c r="X101" s="144"/>
      <c r="Y101" s="142"/>
      <c r="Z101" s="143"/>
      <c r="AA101" s="142"/>
      <c r="AB101" s="142"/>
      <c r="AC101" s="142"/>
      <c r="AD101" s="148"/>
      <c r="AE101" s="149"/>
      <c r="AF101" s="150"/>
      <c r="AG101" s="149"/>
      <c r="AH101" s="149"/>
      <c r="AI101" s="149"/>
      <c r="AJ101" s="148">
        <f>AD101+AG101</f>
        <v>0</v>
      </c>
      <c r="AK101" s="149">
        <f>AE101+AH101</f>
        <v>0</v>
      </c>
      <c r="AL101" s="150">
        <f>AF101+AI101</f>
        <v>0</v>
      </c>
      <c r="AM101" s="148"/>
      <c r="AN101" s="149"/>
      <c r="AO101" s="150"/>
      <c r="AP101" s="152">
        <v>192192</v>
      </c>
      <c r="AQ101" s="152">
        <v>208718</v>
      </c>
      <c r="AR101" s="152">
        <v>194320</v>
      </c>
      <c r="AS101" s="151">
        <v>85492</v>
      </c>
      <c r="AT101" s="152">
        <v>82362</v>
      </c>
      <c r="AU101" s="166">
        <v>79861</v>
      </c>
      <c r="AV101" s="156">
        <f>AP101+AS101</f>
        <v>277684</v>
      </c>
      <c r="AW101" s="156">
        <f>AQ101+AT101</f>
        <v>291080</v>
      </c>
      <c r="AX101" s="156">
        <f>AR101+AU101</f>
        <v>274181</v>
      </c>
      <c r="AY101" s="151">
        <f>11568+4298+52653</f>
        <v>68519</v>
      </c>
      <c r="AZ101" s="152">
        <f>11695+4296+51976</f>
        <v>67967</v>
      </c>
      <c r="BA101" s="166">
        <f>11696+4302+51734</f>
        <v>67732</v>
      </c>
      <c r="BB101" s="157">
        <f>IF($O101="M-Sa",(AV101*5)+AW101+AX101,IF($O101="m-su",(AV101*5)+AW101+AX101,IF($O101="M-F",(AV101*5),IF($O101="T-Su",(AV101*4)+AW101+AX101,IF($O101="T-Sa",(AV101*4)+AW101,IF($O101="T-F",(AV101*4),IF($O101="Su-F",(AV101*5)+AW101+AX101,(AV101*5+AW101+AX101))))))))</f>
        <v>1953681</v>
      </c>
      <c r="BC101" s="157">
        <f>IF($O101="M-Sa",(BB101/6),IF($O101="m-su",(BB101/7),IF($O101="M-F",(BB101/5),IF($O101="T-Su",(BB101/6),IF($O101="T-Sa",(BB101/5),IF($O101="T-F",(BB101/4),IF($O101="Su-F",(BB101/6),(BB101/7))))))))</f>
        <v>279097.28571428574</v>
      </c>
      <c r="BD101" s="167">
        <f>IF($O101="M-Sa",(AY101*5)+AZ101+BA101,IF($O101="m-su",(AY101*5)+AZ101+BA101,IF($O101="M-F",(AY101*5),IF($O101="T-Su",(AY101*4)+AZ101+BA101,IF($O101="T-Sa",(AY101*4)+AZ101,IF($O101="T-F",(AY101*4),IF($O101="Su-F",(AY101*5)+AZ101+BA101,(AY101*5+AZ101+BA101))))))))</f>
        <v>478294</v>
      </c>
      <c r="BE101" s="5"/>
      <c r="BF101" s="6"/>
      <c r="BG101" s="6"/>
      <c r="BH101" s="5"/>
      <c r="BI101" s="5"/>
    </row>
    <row r="102" spans="1:61" s="16" customFormat="1">
      <c r="A102" s="159" t="s">
        <v>254</v>
      </c>
      <c r="B102" s="1" t="s">
        <v>94</v>
      </c>
      <c r="C102" s="1" t="s">
        <v>193</v>
      </c>
      <c r="D102" s="36" t="s">
        <v>194</v>
      </c>
      <c r="E102" s="3" t="s">
        <v>197</v>
      </c>
      <c r="F102" s="140">
        <v>3957700</v>
      </c>
      <c r="G102" s="1" t="s">
        <v>18</v>
      </c>
      <c r="H102" s="1" t="s">
        <v>26</v>
      </c>
      <c r="I102" s="1">
        <v>6</v>
      </c>
      <c r="J102" s="1">
        <v>196</v>
      </c>
      <c r="K102" s="1">
        <f>I102*J102</f>
        <v>1176</v>
      </c>
      <c r="L102" s="1"/>
      <c r="M102" s="1" t="s">
        <v>577</v>
      </c>
      <c r="N102" s="1" t="s">
        <v>20</v>
      </c>
      <c r="O102" s="3" t="s">
        <v>36</v>
      </c>
      <c r="P102" s="4" t="s">
        <v>107</v>
      </c>
      <c r="Q102" s="2" t="s">
        <v>28</v>
      </c>
      <c r="R102" s="162"/>
      <c r="S102" s="160"/>
      <c r="T102" s="161"/>
      <c r="U102" s="160"/>
      <c r="V102" s="160"/>
      <c r="W102" s="160"/>
      <c r="X102" s="162"/>
      <c r="Y102" s="160"/>
      <c r="Z102" s="161"/>
      <c r="AA102" s="160"/>
      <c r="AB102" s="160"/>
      <c r="AC102" s="160"/>
      <c r="AD102" s="163"/>
      <c r="AE102" s="164"/>
      <c r="AF102" s="165"/>
      <c r="AG102" s="164"/>
      <c r="AH102" s="164"/>
      <c r="AI102" s="164"/>
      <c r="AJ102" s="163"/>
      <c r="AK102" s="164"/>
      <c r="AL102" s="165"/>
      <c r="AM102" s="163"/>
      <c r="AN102" s="164"/>
      <c r="AO102" s="165"/>
      <c r="AP102" s="1"/>
      <c r="AQ102" s="1"/>
      <c r="AR102" s="1"/>
      <c r="AS102" s="151">
        <v>172002</v>
      </c>
      <c r="AT102" s="152"/>
      <c r="AU102" s="166"/>
      <c r="AV102" s="156">
        <f>AP102+AS102</f>
        <v>172002</v>
      </c>
      <c r="AW102" s="156">
        <f>AQ102+AT102</f>
        <v>0</v>
      </c>
      <c r="AX102" s="156"/>
      <c r="AY102" s="36"/>
      <c r="AZ102" s="1"/>
      <c r="BA102" s="37"/>
      <c r="BB102" s="157">
        <f>IF($O102="M-Sa",(AV102*5)+AW102+AX102,IF($O102="m-su",(AV102*5)+AW102+AX102,IF($O102="M-F",(AV102*5),IF($O102="T-Su",(AV102*4)+AW102+AX102,IF($O102="T-Sa",(AV102*4)+AW102,IF($O102="T-F",(AV102*4),IF($O102="Su-F",(AV102*5)+AW102+AX102,(AV102*5+AW102+AX102))))))))</f>
        <v>860010</v>
      </c>
      <c r="BC102" s="157">
        <f>IF($O102="M-Sa",(BB102/6),IF($O102="m-su",(BB102/7),IF($O102="M-F",(BB102/5),IF($O102="T-Su",(BB102/6),IF($O102="T-Sa",(BB102/5),IF($O102="T-F",(BB102/4),IF($O102="Su-F",(BB102/6),(BB102/7))))))))</f>
        <v>172002</v>
      </c>
      <c r="BD102" s="167">
        <f>IF($O102="M-Sa",(AY102*5)+AZ102+BA102,IF($O102="m-su",(AY102*5)+AZ102+BA102,IF($O102="M-F",(AY102*5),IF($O102="T-Su",(AY102*4)+AZ102+BA102,IF($O102="T-Sa",(AY102*4)+AZ102,IF($O102="T-F",(AY102*4),IF($O102="Su-F",(AY102*5)+AZ102+BA102,(AY102*5+AZ102+BA102))))))))</f>
        <v>0</v>
      </c>
      <c r="BE102" s="34"/>
      <c r="BF102" s="6"/>
      <c r="BG102" s="215">
        <v>2001</v>
      </c>
      <c r="BH102" s="42" t="s">
        <v>255</v>
      </c>
      <c r="BI102" s="5"/>
    </row>
    <row r="103" spans="1:61" s="5" customFormat="1">
      <c r="A103" s="191" t="s">
        <v>253</v>
      </c>
      <c r="B103" s="14" t="s">
        <v>94</v>
      </c>
      <c r="C103" s="14" t="s">
        <v>193</v>
      </c>
      <c r="D103" s="38" t="s">
        <v>194</v>
      </c>
      <c r="E103" s="17" t="s">
        <v>197</v>
      </c>
      <c r="F103" s="192">
        <v>3957700</v>
      </c>
      <c r="G103" s="14" t="s">
        <v>18</v>
      </c>
      <c r="H103" s="14" t="s">
        <v>26</v>
      </c>
      <c r="I103" s="14">
        <v>6</v>
      </c>
      <c r="J103" s="14">
        <v>160</v>
      </c>
      <c r="K103" s="14">
        <f>I103*J103</f>
        <v>960</v>
      </c>
      <c r="L103" s="14"/>
      <c r="M103" s="1" t="s">
        <v>577</v>
      </c>
      <c r="N103" s="14" t="s">
        <v>20</v>
      </c>
      <c r="O103" s="17" t="s">
        <v>36</v>
      </c>
      <c r="P103" s="18" t="s">
        <v>27</v>
      </c>
      <c r="Q103" s="15" t="s">
        <v>28</v>
      </c>
      <c r="R103" s="195"/>
      <c r="S103" s="193"/>
      <c r="T103" s="194"/>
      <c r="U103" s="193"/>
      <c r="V103" s="193"/>
      <c r="W103" s="193"/>
      <c r="X103" s="195"/>
      <c r="Y103" s="193"/>
      <c r="Z103" s="194"/>
      <c r="AA103" s="193"/>
      <c r="AB103" s="193"/>
      <c r="AC103" s="193"/>
      <c r="AD103" s="196"/>
      <c r="AE103" s="197"/>
      <c r="AF103" s="198"/>
      <c r="AG103" s="197"/>
      <c r="AH103" s="197"/>
      <c r="AI103" s="197"/>
      <c r="AJ103" s="196"/>
      <c r="AK103" s="197"/>
      <c r="AL103" s="198"/>
      <c r="AM103" s="196"/>
      <c r="AN103" s="197"/>
      <c r="AO103" s="198"/>
      <c r="AP103" s="14"/>
      <c r="AQ103" s="14"/>
      <c r="AR103" s="14"/>
      <c r="AS103" s="199">
        <v>145683</v>
      </c>
      <c r="AT103" s="200"/>
      <c r="AU103" s="201"/>
      <c r="AV103" s="202">
        <f>AP103+AS103</f>
        <v>145683</v>
      </c>
      <c r="AW103" s="202">
        <f>AQ103+AT103</f>
        <v>0</v>
      </c>
      <c r="AX103" s="202"/>
      <c r="AY103" s="38"/>
      <c r="AZ103" s="14"/>
      <c r="BA103" s="39"/>
      <c r="BB103" s="211">
        <f>IF($O103="M-Sa",(AV103*5)+AW103+AX103,IF($O103="m-su",(AV103*5)+AW103+AX103,IF($O103="M-F",(AV103*5),IF($O103="T-Su",(AV103*4)+AW103+AX103,IF($O103="T-Sa",(AV103*4)+AW103,IF($O103="T-F",(AV103*4),IF($O103="Su-F",(AV103*5)+AW103+AX103,(AV103*5+AW103+AX103))))))))</f>
        <v>728415</v>
      </c>
      <c r="BC103" s="211">
        <f>IF($O103="M-Sa",(BB103/6),IF($O103="m-su",(BB103/7),IF($O103="M-F",(BB103/5),IF($O103="T-Su",(BB103/6),IF($O103="T-Sa",(BB103/5),IF($O103="T-F",(BB103/4),IF($O103="Su-F",(BB103/6),(BB103/7))))))))</f>
        <v>145683</v>
      </c>
      <c r="BD103" s="212">
        <f>IF($O103="M-Sa",(AY103*5)+AZ103+BA103,IF($O103="m-su",(AY103*5)+AZ103+BA103,IF($O103="M-F",(AY103*5),IF($O103="T-Su",(AY103*4)+AZ103+BA103,IF($O103="T-Sa",(AY103*4)+AZ103,IF($O103="T-F",(AY103*4),IF($O103="Su-F",(AY103*5)+AZ103+BA103,(AY103*5+AZ103+BA103))))))))</f>
        <v>0</v>
      </c>
      <c r="BE103" s="40"/>
      <c r="BF103" s="19"/>
      <c r="BG103" s="216">
        <v>2001</v>
      </c>
      <c r="BH103" s="41" t="s">
        <v>239</v>
      </c>
      <c r="BI103" s="16"/>
    </row>
    <row r="104" spans="1:61" s="5" customFormat="1">
      <c r="A104" s="159" t="s">
        <v>466</v>
      </c>
      <c r="B104" s="1" t="s">
        <v>94</v>
      </c>
      <c r="C104" s="1" t="s">
        <v>193</v>
      </c>
      <c r="D104" s="36" t="s">
        <v>194</v>
      </c>
      <c r="E104" s="3" t="s">
        <v>199</v>
      </c>
      <c r="F104" s="140">
        <v>769600</v>
      </c>
      <c r="G104" s="1" t="s">
        <v>92</v>
      </c>
      <c r="H104" s="1" t="s">
        <v>26</v>
      </c>
      <c r="I104" s="1">
        <v>10</v>
      </c>
      <c r="J104" s="1">
        <v>195</v>
      </c>
      <c r="K104" s="1">
        <f>I104*J104</f>
        <v>1950</v>
      </c>
      <c r="L104" s="84"/>
      <c r="M104" s="84" t="s">
        <v>576</v>
      </c>
      <c r="N104" s="1" t="s">
        <v>20</v>
      </c>
      <c r="O104" s="3" t="s">
        <v>21</v>
      </c>
      <c r="P104" s="4" t="s">
        <v>155</v>
      </c>
      <c r="Q104" s="2" t="s">
        <v>23</v>
      </c>
      <c r="R104" s="144">
        <f>74389-5821</f>
        <v>68568</v>
      </c>
      <c r="S104" s="142">
        <f>95665-12791</f>
        <v>82874</v>
      </c>
      <c r="T104" s="143">
        <f>81146-9133</f>
        <v>72013</v>
      </c>
      <c r="U104" s="142">
        <f>5821+2678</f>
        <v>8499</v>
      </c>
      <c r="V104" s="142">
        <f>12791+2669</f>
        <v>15460</v>
      </c>
      <c r="W104" s="142">
        <f>9133+2667</f>
        <v>11800</v>
      </c>
      <c r="X104" s="144">
        <f>R104+U104</f>
        <v>77067</v>
      </c>
      <c r="Y104" s="142">
        <f>S104+V104</f>
        <v>98334</v>
      </c>
      <c r="Z104" s="143">
        <f>T104+W104</f>
        <v>83813</v>
      </c>
      <c r="AA104" s="142"/>
      <c r="AB104" s="142"/>
      <c r="AC104" s="142"/>
      <c r="AD104" s="148">
        <v>69488</v>
      </c>
      <c r="AE104" s="149">
        <v>82838</v>
      </c>
      <c r="AF104" s="150"/>
      <c r="AG104" s="149">
        <v>4904</v>
      </c>
      <c r="AH104" s="149">
        <v>13768</v>
      </c>
      <c r="AI104" s="149">
        <v>77200</v>
      </c>
      <c r="AJ104" s="148">
        <f>AD104+AG104</f>
        <v>74392</v>
      </c>
      <c r="AK104" s="149">
        <f>AE104+AH104</f>
        <v>96606</v>
      </c>
      <c r="AL104" s="150">
        <f>AF104+AI104</f>
        <v>77200</v>
      </c>
      <c r="AM104" s="148">
        <v>7144</v>
      </c>
      <c r="AN104" s="149">
        <v>7164</v>
      </c>
      <c r="AO104" s="150">
        <v>7173</v>
      </c>
      <c r="AP104" s="152">
        <f>AVERAGE(R104,AD104)</f>
        <v>69028</v>
      </c>
      <c r="AQ104" s="152">
        <f>AVERAGE(S104,AE104)</f>
        <v>82856</v>
      </c>
      <c r="AR104" s="152">
        <f>AVERAGE(T104,AF104)</f>
        <v>72013</v>
      </c>
      <c r="AS104" s="151">
        <f>AVERAGE(U104,AG104)</f>
        <v>6701.5</v>
      </c>
      <c r="AT104" s="152">
        <f>AVERAGE(V104,AH104)</f>
        <v>14614</v>
      </c>
      <c r="AU104" s="166">
        <f>AVERAGE(W104,AI104)</f>
        <v>44500</v>
      </c>
      <c r="AV104" s="156">
        <f>AVERAGE(X104,AJ104)</f>
        <v>75729.5</v>
      </c>
      <c r="AW104" s="156">
        <f>AVERAGE(Y104,AK104)</f>
        <v>97470</v>
      </c>
      <c r="AX104" s="156">
        <f>AVERAGE(Z104,AL104)</f>
        <v>80506.5</v>
      </c>
      <c r="AY104" s="151">
        <f>AVERAGE(AA104,AM104)</f>
        <v>7144</v>
      </c>
      <c r="AZ104" s="152">
        <f>AVERAGE(AB104,AN104)</f>
        <v>7164</v>
      </c>
      <c r="BA104" s="166">
        <f>AVERAGE(AC104,AO104)</f>
        <v>7173</v>
      </c>
      <c r="BB104" s="157">
        <f>IF($O104="M-Sa",(AV104*5)+AW104+AX104,IF($O104="m-su",(AV104*5)+AW104+AX104,IF($O104="M-F",(AV104*5),IF($O104="T-Su",(AV104*4)+AW104+AX104,IF($O104="T-Sa",(AV104*4)+AW104,IF($O104="T-F",(AV104*4),IF($O104="Su-F",(AV104*5)+AW104+AX104,(AV104*5+AW104+AX104))))))))</f>
        <v>556624</v>
      </c>
      <c r="BC104" s="157">
        <f>IF($O104="M-Sa",(BB104/6),IF($O104="m-su",(BB104/7),IF($O104="M-F",(BB104/5),IF($O104="T-Su",(BB104/6),IF($O104="T-Sa",(BB104/5),IF($O104="T-F",(BB104/4),IF($O104="Su-F",(BB104/6),(BB104/7))))))))</f>
        <v>79517.71428571429</v>
      </c>
      <c r="BD104" s="167">
        <f>IF($O104="M-Sa",(AY104*5)+AZ104+BA104,IF($O104="m-su",(AY104*5)+AZ104+BA104,IF($O104="M-F",(AY104*5),IF($O104="T-Su",(AY104*4)+AZ104+BA104,IF($O104="T-Sa",(AY104*4)+AZ104,IF($O104="T-F",(AY104*4),IF($O104="Su-F",(AY104*5)+AZ104+BA104,(AY104*5+AZ104+BA104))))))))</f>
        <v>50057</v>
      </c>
      <c r="BF104" s="6"/>
      <c r="BG104" s="6"/>
    </row>
    <row r="105" spans="1:61" s="5" customFormat="1">
      <c r="A105" s="159" t="s">
        <v>200</v>
      </c>
      <c r="B105" s="1" t="s">
        <v>94</v>
      </c>
      <c r="C105" s="1" t="s">
        <v>193</v>
      </c>
      <c r="D105" s="36" t="s">
        <v>194</v>
      </c>
      <c r="E105" s="3" t="s">
        <v>199</v>
      </c>
      <c r="F105" s="140">
        <v>769600</v>
      </c>
      <c r="G105" s="1" t="s">
        <v>92</v>
      </c>
      <c r="H105" s="1" t="s">
        <v>26</v>
      </c>
      <c r="I105" s="1">
        <v>8</v>
      </c>
      <c r="J105" s="1">
        <v>176</v>
      </c>
      <c r="K105" s="1">
        <f>I105*J105</f>
        <v>1408</v>
      </c>
      <c r="L105" s="84" t="s">
        <v>333</v>
      </c>
      <c r="M105" s="84" t="s">
        <v>576</v>
      </c>
      <c r="N105" s="1" t="s">
        <v>20</v>
      </c>
      <c r="O105" s="3" t="s">
        <v>21</v>
      </c>
      <c r="P105" s="4" t="s">
        <v>27</v>
      </c>
      <c r="Q105" s="2" t="s">
        <v>28</v>
      </c>
      <c r="R105" s="144"/>
      <c r="S105" s="142"/>
      <c r="T105" s="143"/>
      <c r="U105" s="142"/>
      <c r="V105" s="142"/>
      <c r="W105" s="142"/>
      <c r="X105" s="144"/>
      <c r="Y105" s="142"/>
      <c r="Z105" s="143"/>
      <c r="AA105" s="142"/>
      <c r="AB105" s="142"/>
      <c r="AC105" s="142"/>
      <c r="AD105" s="148"/>
      <c r="AE105" s="149"/>
      <c r="AF105" s="150"/>
      <c r="AG105" s="149"/>
      <c r="AH105" s="149"/>
      <c r="AI105" s="149"/>
      <c r="AJ105" s="148">
        <f>AD105+AG105</f>
        <v>0</v>
      </c>
      <c r="AK105" s="149">
        <f>AE105+AH105</f>
        <v>0</v>
      </c>
      <c r="AL105" s="150">
        <f>AF105+AI105</f>
        <v>0</v>
      </c>
      <c r="AM105" s="148"/>
      <c r="AN105" s="149"/>
      <c r="AO105" s="150"/>
      <c r="AP105" s="152">
        <v>83246</v>
      </c>
      <c r="AQ105" s="152">
        <v>91461</v>
      </c>
      <c r="AR105" s="152">
        <v>83498</v>
      </c>
      <c r="AS105" s="151">
        <v>73322</v>
      </c>
      <c r="AT105" s="152">
        <v>75710</v>
      </c>
      <c r="AU105" s="166">
        <v>74885</v>
      </c>
      <c r="AV105" s="156">
        <f>AP105+AS105</f>
        <v>156568</v>
      </c>
      <c r="AW105" s="156">
        <f>AQ105+AT105</f>
        <v>167171</v>
      </c>
      <c r="AX105" s="156">
        <f>AR105+AU105</f>
        <v>158383</v>
      </c>
      <c r="AY105" s="151">
        <f>8839+58302</f>
        <v>67141</v>
      </c>
      <c r="AZ105" s="152">
        <f>8919+57797</f>
        <v>66716</v>
      </c>
      <c r="BA105" s="166">
        <f>8923+57794</f>
        <v>66717</v>
      </c>
      <c r="BB105" s="157">
        <f>IF($O105="M-Sa",(AV105*5)+AW105+AX105,IF($O105="m-su",(AV105*5)+AW105+AX105,IF($O105="M-F",(AV105*5),IF($O105="T-Su",(AV105*4)+AW105+AX105,IF($O105="T-Sa",(AV105*4)+AW105,IF($O105="T-F",(AV105*4),IF($O105="Su-F",(AV105*5)+AW105+AX105,(AV105*5+AW105+AX105))))))))</f>
        <v>1108394</v>
      </c>
      <c r="BC105" s="157">
        <f>IF($O105="M-Sa",(BB105/6),IF($O105="m-su",(BB105/7),IF($O105="M-F",(BB105/5),IF($O105="T-Su",(BB105/6),IF($O105="T-Sa",(BB105/5),IF($O105="T-F",(BB105/4),IF($O105="Su-F",(BB105/6),(BB105/7))))))))</f>
        <v>158342</v>
      </c>
      <c r="BD105" s="167">
        <f>IF($O105="M-Sa",(AY105*5)+AZ105+BA105,IF($O105="m-su",(AY105*5)+AZ105+BA105,IF($O105="M-F",(AY105*5),IF($O105="T-Su",(AY105*4)+AZ105+BA105,IF($O105="T-Sa",(AY105*4)+AZ105,IF($O105="T-F",(AY105*4),IF($O105="Su-F",(AY105*5)+AZ105+BA105,(AY105*5+AZ105+BA105))))))))</f>
        <v>469138</v>
      </c>
      <c r="BF105" s="6"/>
      <c r="BG105" s="6"/>
    </row>
    <row r="106" spans="1:61" s="5" customFormat="1">
      <c r="A106" s="159" t="s">
        <v>467</v>
      </c>
      <c r="B106" s="1" t="s">
        <v>94</v>
      </c>
      <c r="C106" s="1" t="s">
        <v>193</v>
      </c>
      <c r="D106" s="36" t="s">
        <v>194</v>
      </c>
      <c r="E106" s="3" t="s">
        <v>202</v>
      </c>
      <c r="F106" s="140">
        <v>203500</v>
      </c>
      <c r="G106" s="1" t="s">
        <v>41</v>
      </c>
      <c r="H106" s="1" t="s">
        <v>26</v>
      </c>
      <c r="I106" s="1">
        <v>10</v>
      </c>
      <c r="J106" s="1">
        <v>195</v>
      </c>
      <c r="K106" s="1">
        <f>I106*J106</f>
        <v>1950</v>
      </c>
      <c r="L106" s="84"/>
      <c r="M106" s="84" t="s">
        <v>576</v>
      </c>
      <c r="N106" s="1" t="s">
        <v>20</v>
      </c>
      <c r="O106" s="3" t="s">
        <v>45</v>
      </c>
      <c r="P106" s="4" t="s">
        <v>155</v>
      </c>
      <c r="Q106" s="2" t="s">
        <v>23</v>
      </c>
      <c r="R106" s="144">
        <f>31090-2548</f>
        <v>28542</v>
      </c>
      <c r="S106" s="142">
        <f>32372-500</f>
        <v>31872</v>
      </c>
      <c r="T106" s="143"/>
      <c r="U106" s="142">
        <f>2548+35</f>
        <v>2583</v>
      </c>
      <c r="V106" s="142">
        <f>500+35</f>
        <v>535</v>
      </c>
      <c r="W106" s="142"/>
      <c r="X106" s="144">
        <f>R106+U106</f>
        <v>31125</v>
      </c>
      <c r="Y106" s="142">
        <f>S106+V106</f>
        <v>32407</v>
      </c>
      <c r="Z106" s="143"/>
      <c r="AA106" s="142"/>
      <c r="AB106" s="142"/>
      <c r="AC106" s="142"/>
      <c r="AD106" s="148">
        <v>26930</v>
      </c>
      <c r="AE106" s="149">
        <v>33396</v>
      </c>
      <c r="AF106" s="150"/>
      <c r="AG106" s="149">
        <v>3832</v>
      </c>
      <c r="AH106" s="149">
        <v>687</v>
      </c>
      <c r="AI106" s="149"/>
      <c r="AJ106" s="148">
        <f>AD106+AG106</f>
        <v>30762</v>
      </c>
      <c r="AK106" s="149">
        <f>AE106+AH106</f>
        <v>34083</v>
      </c>
      <c r="AL106" s="150">
        <f>AF106+AI106</f>
        <v>0</v>
      </c>
      <c r="AM106" s="148">
        <v>1511</v>
      </c>
      <c r="AN106" s="149">
        <v>1942</v>
      </c>
      <c r="AO106" s="150"/>
      <c r="AP106" s="152">
        <f>AVERAGE(R106,AD106)</f>
        <v>27736</v>
      </c>
      <c r="AQ106" s="152">
        <f>AVERAGE(S106,AE106)</f>
        <v>32634</v>
      </c>
      <c r="AR106" s="152"/>
      <c r="AS106" s="151">
        <f>AVERAGE(U106,AG106)</f>
        <v>3207.5</v>
      </c>
      <c r="AT106" s="152">
        <f>AVERAGE(V106,AH106)</f>
        <v>611</v>
      </c>
      <c r="AU106" s="166"/>
      <c r="AV106" s="156">
        <f>AVERAGE(X106,AJ106)</f>
        <v>30943.5</v>
      </c>
      <c r="AW106" s="156">
        <f>AVERAGE(Y106,AK106)</f>
        <v>33245</v>
      </c>
      <c r="AX106" s="156">
        <f>AVERAGE(Z106,AL106)</f>
        <v>0</v>
      </c>
      <c r="AY106" s="151">
        <f>AVERAGE(AA106,AM106)</f>
        <v>1511</v>
      </c>
      <c r="AZ106" s="152">
        <f>AVERAGE(AB106,AN106)</f>
        <v>1942</v>
      </c>
      <c r="BA106" s="166"/>
      <c r="BB106" s="157">
        <f>IF($O106="M-Sa",(AV106*5)+AW106+AX106,IF($O106="m-su",(AV106*5)+AW106+AX106,IF($O106="M-F",(AV106*5),IF($O106="T-Su",(AV106*4)+AW106+AX106,IF($O106="T-Sa",(AV106*4)+AW106,IF($O106="T-F",(AV106*4),IF($O106="Su-F",(AV106*5)+AW106+AX106,(AV106*5+AW106+AX106))))))))</f>
        <v>187962.5</v>
      </c>
      <c r="BC106" s="157">
        <f>IF($O106="M-Sa",(BB106/6),IF($O106="m-su",(BB106/7),IF($O106="M-F",(BB106/5),IF($O106="T-Su",(BB106/6),IF($O106="T-Sa",(BB106/5),IF($O106="T-F",(BB106/4),IF($O106="Su-F",(BB106/6),(BB106/7))))))))</f>
        <v>31327.083333333332</v>
      </c>
      <c r="BD106" s="167">
        <f>IF($O106="M-Sa",(AY106*5)+AZ106+BA106,IF($O106="m-su",(AY106*5)+AZ106+BA106,IF($O106="M-F",(AY106*5),IF($O106="T-Su",(AY106*4)+AZ106+BA106,IF($O106="T-Sa",(AY106*4)+AZ106,IF($O106="T-F",(AY106*4),IF($O106="Su-F",(AY106*5)+AZ106+BA106,(AY106*5+AZ106+BA106))))))))</f>
        <v>9497</v>
      </c>
      <c r="BF106" s="6"/>
      <c r="BG106" s="6"/>
    </row>
    <row r="107" spans="1:61" s="5" customFormat="1">
      <c r="A107" s="159" t="s">
        <v>468</v>
      </c>
      <c r="B107" s="1" t="s">
        <v>14</v>
      </c>
      <c r="C107" s="1" t="s">
        <v>193</v>
      </c>
      <c r="D107" s="36" t="s">
        <v>194</v>
      </c>
      <c r="E107" s="3" t="s">
        <v>202</v>
      </c>
      <c r="F107" s="140">
        <v>203500</v>
      </c>
      <c r="G107" s="1" t="s">
        <v>41</v>
      </c>
      <c r="H107" s="1" t="s">
        <v>26</v>
      </c>
      <c r="I107" s="1">
        <v>8</v>
      </c>
      <c r="J107" s="1">
        <v>195</v>
      </c>
      <c r="K107" s="1">
        <f>I107*J107</f>
        <v>1560</v>
      </c>
      <c r="L107" s="84"/>
      <c r="M107" s="84" t="s">
        <v>576</v>
      </c>
      <c r="N107" s="1" t="s">
        <v>20</v>
      </c>
      <c r="O107" s="3" t="s">
        <v>36</v>
      </c>
      <c r="P107" s="4" t="s">
        <v>42</v>
      </c>
      <c r="Q107" s="2" t="s">
        <v>23</v>
      </c>
      <c r="R107" s="144">
        <v>4034</v>
      </c>
      <c r="S107" s="142"/>
      <c r="T107" s="143"/>
      <c r="U107" s="142">
        <v>200</v>
      </c>
      <c r="V107" s="142"/>
      <c r="W107" s="142"/>
      <c r="X107" s="144">
        <f>R107+U107</f>
        <v>4234</v>
      </c>
      <c r="Y107" s="142">
        <f>S107+V107</f>
        <v>0</v>
      </c>
      <c r="Z107" s="143">
        <f>T107+W107</f>
        <v>0</v>
      </c>
      <c r="AA107" s="142"/>
      <c r="AB107" s="142"/>
      <c r="AC107" s="142"/>
      <c r="AD107" s="148">
        <v>4003</v>
      </c>
      <c r="AE107" s="149"/>
      <c r="AF107" s="150"/>
      <c r="AG107" s="149">
        <v>389</v>
      </c>
      <c r="AH107" s="149"/>
      <c r="AI107" s="149"/>
      <c r="AJ107" s="148">
        <f>AD107+AG107</f>
        <v>4392</v>
      </c>
      <c r="AK107" s="149">
        <f>AE107+AH107</f>
        <v>0</v>
      </c>
      <c r="AL107" s="150">
        <f>AF107+AI107</f>
        <v>0</v>
      </c>
      <c r="AM107" s="148">
        <v>261</v>
      </c>
      <c r="AN107" s="149"/>
      <c r="AO107" s="150"/>
      <c r="AP107" s="152">
        <f>AVERAGE(R107,AD107)</f>
        <v>4018.5</v>
      </c>
      <c r="AQ107" s="152"/>
      <c r="AR107" s="152"/>
      <c r="AS107" s="151">
        <f>AVERAGE(U107,AG107)</f>
        <v>294.5</v>
      </c>
      <c r="AT107" s="152"/>
      <c r="AU107" s="166"/>
      <c r="AV107" s="156">
        <f>AVERAGE(X107,AJ107)</f>
        <v>4313</v>
      </c>
      <c r="AW107" s="156">
        <f>AVERAGE(Y107,AK107)</f>
        <v>0</v>
      </c>
      <c r="AX107" s="156">
        <f>AVERAGE(Z107,AL107)</f>
        <v>0</v>
      </c>
      <c r="AY107" s="151">
        <f>AVERAGE(AA107,AM107)</f>
        <v>261</v>
      </c>
      <c r="AZ107" s="152"/>
      <c r="BA107" s="166"/>
      <c r="BB107" s="157">
        <f>IF($O107="M-Sa",(AV107*5)+AW107+AX107,IF($O107="m-su",(AV107*5)+AW107+AX107,IF($O107="M-F",(AV107*5),IF($O107="T-Su",(AV107*4)+AW107+AX107,IF($O107="T-Sa",(AV107*4)+AW107,IF($O107="T-F",(AV107*4),IF($O107="Su-F",(AV107*5)+AW107+AX107,(AV107*5+AW107+AX107))))))))</f>
        <v>21565</v>
      </c>
      <c r="BC107" s="157">
        <f>IF($O107="M-Sa",(BB107/6),IF($O107="m-su",(BB107/7),IF($O107="M-F",(BB107/5),IF($O107="T-Su",(BB107/6),IF($O107="T-Sa",(BB107/5),IF($O107="T-F",(BB107/4),IF($O107="Su-F",(BB107/6),(BB107/7))))))))</f>
        <v>4313</v>
      </c>
      <c r="BD107" s="167">
        <f>IF($O107="M-Sa",(AY107*5)+AZ107+BA107,IF($O107="m-su",(AY107*5)+AZ107+BA107,IF($O107="M-F",(AY107*5),IF($O107="T-Su",(AY107*4)+AZ107+BA107,IF($O107="T-Sa",(AY107*4)+AZ107,IF($O107="T-F",(AY107*4),IF($O107="Su-F",(AY107*5)+AZ107+BA107,(AY107*5+AZ107+BA107))))))))</f>
        <v>1305</v>
      </c>
      <c r="BF107" s="6" t="s">
        <v>203</v>
      </c>
      <c r="BG107" s="6"/>
    </row>
    <row r="108" spans="1:61" s="5" customFormat="1">
      <c r="A108" s="159" t="s">
        <v>469</v>
      </c>
      <c r="B108" s="1" t="s">
        <v>94</v>
      </c>
      <c r="C108" s="1" t="s">
        <v>193</v>
      </c>
      <c r="D108" s="36" t="s">
        <v>194</v>
      </c>
      <c r="E108" s="3" t="s">
        <v>205</v>
      </c>
      <c r="F108" s="140">
        <v>148300</v>
      </c>
      <c r="G108" s="1" t="s">
        <v>41</v>
      </c>
      <c r="H108" s="1" t="s">
        <v>19</v>
      </c>
      <c r="I108" s="1">
        <v>10</v>
      </c>
      <c r="J108" s="1">
        <v>200</v>
      </c>
      <c r="K108" s="1">
        <f>I108*J108</f>
        <v>2000</v>
      </c>
      <c r="L108" s="84"/>
      <c r="M108" s="84" t="s">
        <v>576</v>
      </c>
      <c r="N108" s="1" t="s">
        <v>20</v>
      </c>
      <c r="O108" s="3" t="s">
        <v>45</v>
      </c>
      <c r="P108" s="4" t="s">
        <v>155</v>
      </c>
      <c r="Q108" s="2" t="s">
        <v>23</v>
      </c>
      <c r="R108" s="144">
        <f>44994-2058</f>
        <v>42936</v>
      </c>
      <c r="S108" s="142">
        <v>44535</v>
      </c>
      <c r="T108" s="143"/>
      <c r="U108" s="142">
        <f>2058+116</f>
        <v>2174</v>
      </c>
      <c r="V108" s="142">
        <v>111</v>
      </c>
      <c r="W108" s="142"/>
      <c r="X108" s="144">
        <f>R108+U108</f>
        <v>45110</v>
      </c>
      <c r="Y108" s="142">
        <f>S108+V108</f>
        <v>44646</v>
      </c>
      <c r="Z108" s="143"/>
      <c r="AA108" s="142"/>
      <c r="AB108" s="142"/>
      <c r="AC108" s="142"/>
      <c r="AD108" s="148">
        <v>36448</v>
      </c>
      <c r="AE108" s="149">
        <v>39739</v>
      </c>
      <c r="AF108" s="150"/>
      <c r="AG108" s="149">
        <v>4674</v>
      </c>
      <c r="AH108" s="149">
        <v>3840</v>
      </c>
      <c r="AI108" s="149"/>
      <c r="AJ108" s="148">
        <f>AD108+AG108</f>
        <v>41122</v>
      </c>
      <c r="AK108" s="149">
        <f>AE108+AH108</f>
        <v>43579</v>
      </c>
      <c r="AL108" s="150">
        <f>AF108+AI108</f>
        <v>0</v>
      </c>
      <c r="AM108" s="148">
        <v>6027</v>
      </c>
      <c r="AN108" s="149">
        <v>6907</v>
      </c>
      <c r="AO108" s="150"/>
      <c r="AP108" s="152">
        <f>AVERAGE(R108,AD108)</f>
        <v>39692</v>
      </c>
      <c r="AQ108" s="152">
        <f>AVERAGE(S108,AE108)</f>
        <v>42137</v>
      </c>
      <c r="AR108" s="152"/>
      <c r="AS108" s="151">
        <f>AVERAGE(U108,AG108)</f>
        <v>3424</v>
      </c>
      <c r="AT108" s="152">
        <f>AVERAGE(V108,AH108)</f>
        <v>1975.5</v>
      </c>
      <c r="AU108" s="166"/>
      <c r="AV108" s="156">
        <f>AVERAGE(X108,AJ108)</f>
        <v>43116</v>
      </c>
      <c r="AW108" s="156">
        <f>AVERAGE(Y108,AK108)</f>
        <v>44112.5</v>
      </c>
      <c r="AX108" s="156">
        <f>AVERAGE(Z108,AL108)</f>
        <v>0</v>
      </c>
      <c r="AY108" s="151">
        <f>AVERAGE(AA108,AM108)</f>
        <v>6027</v>
      </c>
      <c r="AZ108" s="152">
        <f>AVERAGE(AB108,AN108)</f>
        <v>6907</v>
      </c>
      <c r="BA108" s="166"/>
      <c r="BB108" s="157">
        <f>IF($O108="M-Sa",(AV108*5)+AW108+AX108,IF($O108="m-su",(AV108*5)+AW108+AX108,IF($O108="M-F",(AV108*5),IF($O108="T-Su",(AV108*4)+AW108+AX108,IF($O108="T-Sa",(AV108*4)+AW108,IF($O108="T-F",(AV108*4),IF($O108="Su-F",(AV108*5)+AW108+AX108,(AV108*5+AW108+AX108))))))))</f>
        <v>259692.5</v>
      </c>
      <c r="BC108" s="157">
        <f>IF($O108="M-Sa",(BB108/6),IF($O108="m-su",(BB108/7),IF($O108="M-F",(BB108/5),IF($O108="T-Su",(BB108/6),IF($O108="T-Sa",(BB108/5),IF($O108="T-F",(BB108/4),IF($O108="Su-F",(BB108/6),(BB108/7))))))))</f>
        <v>43282.083333333336</v>
      </c>
      <c r="BD108" s="167">
        <f>IF($O108="M-Sa",(AY108*5)+AZ108+BA108,IF($O108="m-su",(AY108*5)+AZ108+BA108,IF($O108="M-F",(AY108*5),IF($O108="T-Su",(AY108*4)+AZ108+BA108,IF($O108="T-Sa",(AY108*4)+AZ108,IF($O108="T-F",(AY108*4),IF($O108="Su-F",(AY108*5)+AZ108+BA108,(AY108*5+AZ108+BA108))))))))</f>
        <v>37042</v>
      </c>
      <c r="BF108" s="6"/>
      <c r="BG108" s="6"/>
    </row>
    <row r="109" spans="1:61" s="8" customFormat="1">
      <c r="A109" s="159" t="s">
        <v>517</v>
      </c>
      <c r="B109" s="1" t="s">
        <v>14</v>
      </c>
      <c r="C109" s="1" t="s">
        <v>15</v>
      </c>
      <c r="D109" s="36" t="s">
        <v>206</v>
      </c>
      <c r="E109" s="3" t="s">
        <v>207</v>
      </c>
      <c r="F109" s="140">
        <v>34421</v>
      </c>
      <c r="G109" s="1" t="s">
        <v>53</v>
      </c>
      <c r="H109" s="1" t="s">
        <v>19</v>
      </c>
      <c r="I109" s="1">
        <v>10</v>
      </c>
      <c r="J109" s="1">
        <v>301</v>
      </c>
      <c r="K109" s="1">
        <f>I109*J109</f>
        <v>3010</v>
      </c>
      <c r="L109" s="84"/>
      <c r="M109" s="84" t="s">
        <v>576</v>
      </c>
      <c r="N109" s="1" t="s">
        <v>35</v>
      </c>
      <c r="O109" s="3" t="s">
        <v>45</v>
      </c>
      <c r="P109" s="4" t="s">
        <v>107</v>
      </c>
      <c r="Q109" s="2" t="s">
        <v>353</v>
      </c>
      <c r="R109" s="144"/>
      <c r="S109" s="142"/>
      <c r="T109" s="143"/>
      <c r="U109" s="142"/>
      <c r="V109" s="142"/>
      <c r="W109" s="142"/>
      <c r="X109" s="144"/>
      <c r="Y109" s="142"/>
      <c r="Z109" s="143"/>
      <c r="AA109" s="142"/>
      <c r="AB109" s="142"/>
      <c r="AC109" s="142"/>
      <c r="AD109" s="148"/>
      <c r="AE109" s="149"/>
      <c r="AF109" s="150"/>
      <c r="AG109" s="149"/>
      <c r="AH109" s="149"/>
      <c r="AI109" s="149"/>
      <c r="AJ109" s="148">
        <f>AD109+AG109</f>
        <v>0</v>
      </c>
      <c r="AK109" s="149">
        <f>AE109+AH109</f>
        <v>0</v>
      </c>
      <c r="AL109" s="150">
        <f>AF109+AI109</f>
        <v>0</v>
      </c>
      <c r="AM109" s="148"/>
      <c r="AN109" s="149"/>
      <c r="AO109" s="150"/>
      <c r="AP109" s="152">
        <f>4388+85</f>
        <v>4473</v>
      </c>
      <c r="AQ109" s="152">
        <f>4388+85</f>
        <v>4473</v>
      </c>
      <c r="AR109" s="152"/>
      <c r="AS109" s="151">
        <v>3979</v>
      </c>
      <c r="AT109" s="152">
        <v>3979</v>
      </c>
      <c r="AU109" s="166"/>
      <c r="AV109" s="156">
        <f>AP109+AS109</f>
        <v>8452</v>
      </c>
      <c r="AW109" s="156">
        <f>AQ109+AT109</f>
        <v>8452</v>
      </c>
      <c r="AX109" s="156">
        <f>AR109+AU109</f>
        <v>0</v>
      </c>
      <c r="AY109" s="151">
        <f>85+3979</f>
        <v>4064</v>
      </c>
      <c r="AZ109" s="152">
        <f>85+3979</f>
        <v>4064</v>
      </c>
      <c r="BA109" s="166"/>
      <c r="BB109" s="157">
        <f>IF($O109="M-Sa",(AV109*5)+AW109+AX109,IF($O109="m-su",(AV109*5)+AW109+AX109,IF($O109="M-F",(AV109*5),IF($O109="T-Su",(AV109*4)+AW109+AX109,IF($O109="T-Sa",(AV109*4)+AW109,IF($O109="T-F",(AV109*4),IF($O109="Su-F",(AV109*5)+AW109+AX109,(AV109*5+AW109+AX109))))))))</f>
        <v>50712</v>
      </c>
      <c r="BC109" s="157">
        <f>IF($O109="M-Sa",(BB109/6),IF($O109="m-su",(BB109/7),IF($O109="M-F",(BB109/5),IF($O109="T-Su",(BB109/6),IF($O109="T-Sa",(BB109/5),IF($O109="T-F",(BB109/4),IF($O109="Su-F",(BB109/6),(BB109/7))))))))</f>
        <v>8452</v>
      </c>
      <c r="BD109" s="167">
        <f>IF($O109="M-Sa",(AY109*5)+AZ109+BA109,IF($O109="m-su",(AY109*5)+AZ109+BA109,IF($O109="M-F",(AY109*5),IF($O109="T-Su",(AY109*4)+AZ109+BA109,IF($O109="T-Sa",(AY109*4)+AZ109,IF($O109="T-F",(AY109*4),IF($O109="Su-F",(AY109*5)+AZ109+BA109,(AY109*5+AZ109+BA109))))))))</f>
        <v>24384</v>
      </c>
      <c r="BE109" s="5"/>
      <c r="BF109" s="6" t="s">
        <v>208</v>
      </c>
      <c r="BG109" s="6"/>
      <c r="BH109" s="5"/>
    </row>
    <row r="110" spans="1:61" s="16" customFormat="1">
      <c r="A110" s="191" t="s">
        <v>209</v>
      </c>
      <c r="B110" s="14" t="s">
        <v>14</v>
      </c>
      <c r="C110" s="14" t="s">
        <v>15</v>
      </c>
      <c r="D110" s="38" t="s">
        <v>206</v>
      </c>
      <c r="E110" s="17" t="s">
        <v>210</v>
      </c>
      <c r="F110" s="192">
        <v>42673</v>
      </c>
      <c r="G110" s="14" t="s">
        <v>53</v>
      </c>
      <c r="H110" s="14" t="s">
        <v>19</v>
      </c>
      <c r="I110" s="14">
        <v>6</v>
      </c>
      <c r="J110" s="14">
        <v>301</v>
      </c>
      <c r="K110" s="14">
        <f>I110*J110</f>
        <v>1806</v>
      </c>
      <c r="L110" s="204"/>
      <c r="M110" s="84" t="s">
        <v>576</v>
      </c>
      <c r="N110" s="14" t="s">
        <v>20</v>
      </c>
      <c r="O110" s="17" t="s">
        <v>45</v>
      </c>
      <c r="P110" s="18" t="s">
        <v>107</v>
      </c>
      <c r="Q110" s="15" t="s">
        <v>28</v>
      </c>
      <c r="R110" s="207"/>
      <c r="S110" s="205"/>
      <c r="T110" s="206"/>
      <c r="U110" s="205"/>
      <c r="V110" s="205"/>
      <c r="W110" s="205"/>
      <c r="X110" s="207"/>
      <c r="Y110" s="205"/>
      <c r="Z110" s="206"/>
      <c r="AA110" s="205"/>
      <c r="AB110" s="205"/>
      <c r="AC110" s="205"/>
      <c r="AD110" s="208"/>
      <c r="AE110" s="209"/>
      <c r="AF110" s="210"/>
      <c r="AG110" s="209"/>
      <c r="AH110" s="209"/>
      <c r="AI110" s="209"/>
      <c r="AJ110" s="208">
        <f>AD110+AG110</f>
        <v>0</v>
      </c>
      <c r="AK110" s="209">
        <f>AE110+AH110</f>
        <v>0</v>
      </c>
      <c r="AL110" s="210">
        <f>AF110+AI110</f>
        <v>0</v>
      </c>
      <c r="AM110" s="208"/>
      <c r="AN110" s="209"/>
      <c r="AO110" s="210"/>
      <c r="AP110" s="200">
        <v>5197</v>
      </c>
      <c r="AQ110" s="200">
        <v>5440</v>
      </c>
      <c r="AR110" s="200"/>
      <c r="AS110" s="199"/>
      <c r="AT110" s="200"/>
      <c r="AU110" s="201"/>
      <c r="AV110" s="202">
        <f>AP110+AS110</f>
        <v>5197</v>
      </c>
      <c r="AW110" s="202">
        <f>AQ110+AT110</f>
        <v>5440</v>
      </c>
      <c r="AX110" s="202">
        <f>AR110+AU110</f>
        <v>0</v>
      </c>
      <c r="AY110" s="199"/>
      <c r="AZ110" s="200"/>
      <c r="BA110" s="201"/>
      <c r="BB110" s="211">
        <f>IF($O110="M-Sa",(AV110*5)+AW110+AX110,IF($O110="m-su",(AV110*5)+AW110+AX110,IF($O110="M-F",(AV110*5),IF($O110="T-Su",(AV110*4)+AW110+AX110,IF($O110="T-Sa",(AV110*4)+AW110,IF($O110="T-F",(AV110*4),IF($O110="Su-F",(AV110*5)+AW110+AX110,(AV110*5+AW110+AX110))))))))</f>
        <v>31425</v>
      </c>
      <c r="BC110" s="211">
        <f>IF($O110="M-Sa",(BB110/6),IF($O110="m-su",(BB110/7),IF($O110="M-F",(BB110/5),IF($O110="T-Su",(BB110/6),IF($O110="T-Sa",(BB110/5),IF($O110="T-F",(BB110/4),IF($O110="Su-F",(BB110/6),(BB110/7))))))))</f>
        <v>5237.5</v>
      </c>
      <c r="BD110" s="212">
        <f>IF($O110="M-Sa",(AY110*5)+AZ110+BA110,IF($O110="m-su",(AY110*5)+AZ110+BA110,IF($O110="M-F",(AY110*5),IF($O110="T-Su",(AY110*4)+AZ110+BA110,IF($O110="T-Sa",(AY110*4)+AZ110,IF($O110="T-F",(AY110*4),IF($O110="Su-F",(AY110*5)+AZ110+BA110,(AY110*5+AZ110+BA110))))))))</f>
        <v>0</v>
      </c>
      <c r="BF110" s="19" t="s">
        <v>211</v>
      </c>
      <c r="BG110" s="19"/>
    </row>
    <row r="111" spans="1:61" s="16" customFormat="1">
      <c r="A111" s="159" t="s">
        <v>471</v>
      </c>
      <c r="B111" s="1" t="s">
        <v>14</v>
      </c>
      <c r="C111" s="1" t="s">
        <v>15</v>
      </c>
      <c r="D111" s="36" t="s">
        <v>206</v>
      </c>
      <c r="E111" s="3" t="s">
        <v>212</v>
      </c>
      <c r="F111" s="140">
        <v>226300</v>
      </c>
      <c r="G111" s="1" t="s">
        <v>41</v>
      </c>
      <c r="H111" s="1" t="s">
        <v>19</v>
      </c>
      <c r="I111" s="1">
        <v>10</v>
      </c>
      <c r="J111" s="1">
        <v>300</v>
      </c>
      <c r="K111" s="1">
        <f>I111*J111</f>
        <v>3000</v>
      </c>
      <c r="L111" s="84" t="s">
        <v>337</v>
      </c>
      <c r="M111" s="84" t="s">
        <v>576</v>
      </c>
      <c r="N111" s="1" t="s">
        <v>20</v>
      </c>
      <c r="O111" s="3" t="s">
        <v>45</v>
      </c>
      <c r="P111" s="4" t="s">
        <v>22</v>
      </c>
      <c r="Q111" s="2" t="s">
        <v>23</v>
      </c>
      <c r="R111" s="144">
        <f>38355-792</f>
        <v>37563</v>
      </c>
      <c r="S111" s="142">
        <f>38774-761</f>
        <v>38013</v>
      </c>
      <c r="T111" s="143"/>
      <c r="U111" s="142">
        <f>792+728</f>
        <v>1520</v>
      </c>
      <c r="V111" s="142">
        <f>761+791</f>
        <v>1552</v>
      </c>
      <c r="W111" s="142"/>
      <c r="X111" s="144">
        <f>R111+U111</f>
        <v>39083</v>
      </c>
      <c r="Y111" s="142">
        <f>S111+V111</f>
        <v>39565</v>
      </c>
      <c r="Z111" s="143"/>
      <c r="AA111" s="142"/>
      <c r="AB111" s="142"/>
      <c r="AC111" s="142"/>
      <c r="AD111" s="148">
        <v>31708</v>
      </c>
      <c r="AE111" s="149">
        <v>34469</v>
      </c>
      <c r="AF111" s="150"/>
      <c r="AG111" s="149">
        <v>7724</v>
      </c>
      <c r="AH111" s="149">
        <v>5943</v>
      </c>
      <c r="AI111" s="149"/>
      <c r="AJ111" s="148">
        <f>AD111+AG111</f>
        <v>39432</v>
      </c>
      <c r="AK111" s="149">
        <f>AE111+AH111</f>
        <v>40412</v>
      </c>
      <c r="AL111" s="150">
        <f>AF111+AI111</f>
        <v>0</v>
      </c>
      <c r="AM111" s="148">
        <v>8083</v>
      </c>
      <c r="AN111" s="149">
        <v>6222</v>
      </c>
      <c r="AO111" s="150"/>
      <c r="AP111" s="152">
        <f>AVERAGE(R111,AD111)</f>
        <v>34635.5</v>
      </c>
      <c r="AQ111" s="152">
        <f>AVERAGE(S111,AE111)</f>
        <v>36241</v>
      </c>
      <c r="AR111" s="152"/>
      <c r="AS111" s="151">
        <f>AVERAGE(U111,AG111)</f>
        <v>4622</v>
      </c>
      <c r="AT111" s="152">
        <f>AVERAGE(V111,AH111)</f>
        <v>3747.5</v>
      </c>
      <c r="AU111" s="166"/>
      <c r="AV111" s="156">
        <f>AVERAGE(X111,AJ111)</f>
        <v>39257.5</v>
      </c>
      <c r="AW111" s="156">
        <f>AVERAGE(Y111,AK111)</f>
        <v>39988.5</v>
      </c>
      <c r="AX111" s="156">
        <f>AVERAGE(Z111,AL111)</f>
        <v>0</v>
      </c>
      <c r="AY111" s="151">
        <f>AVERAGE(AA111,AM111)</f>
        <v>8083</v>
      </c>
      <c r="AZ111" s="152">
        <f>AVERAGE(AB111,AN111)</f>
        <v>6222</v>
      </c>
      <c r="BA111" s="166"/>
      <c r="BB111" s="157">
        <f>IF($O111="M-Sa",(AV111*5)+AW111+AX111,IF($O111="m-su",(AV111*5)+AW111+AX111,IF($O111="M-F",(AV111*5),IF($O111="T-Su",(AV111*4)+AW111+AX111,IF($O111="T-Sa",(AV111*4)+AW111,IF($O111="T-F",(AV111*4),IF($O111="Su-F",(AV111*5)+AW111+AX111,(AV111*5+AW111+AX111))))))))</f>
        <v>236276</v>
      </c>
      <c r="BC111" s="157">
        <f>IF($O111="M-Sa",(BB111/6),IF($O111="m-su",(BB111/7),IF($O111="M-F",(BB111/5),IF($O111="T-Su",(BB111/6),IF($O111="T-Sa",(BB111/5),IF($O111="T-F",(BB111/4),IF($O111="Su-F",(BB111/6),(BB111/7))))))))</f>
        <v>39379.333333333336</v>
      </c>
      <c r="BD111" s="167">
        <f>IF($O111="M-Sa",(AY111*5)+AZ111+BA111,IF($O111="m-su",(AY111*5)+AZ111+BA111,IF($O111="M-F",(AY111*5),IF($O111="T-Su",(AY111*4)+AZ111+BA111,IF($O111="T-Sa",(AY111*4)+AZ111,IF($O111="T-F",(AY111*4),IF($O111="Su-F",(AY111*5)+AZ111+BA111,(AY111*5+AZ111+BA111))))))))</f>
        <v>46637</v>
      </c>
      <c r="BE111" s="10"/>
      <c r="BF111" s="11"/>
      <c r="BG111" s="11"/>
      <c r="BH111" s="10"/>
      <c r="BI111" s="5"/>
    </row>
    <row r="112" spans="1:61" s="16" customFormat="1">
      <c r="A112" s="159" t="s">
        <v>470</v>
      </c>
      <c r="B112" s="1" t="s">
        <v>14</v>
      </c>
      <c r="C112" s="1" t="s">
        <v>15</v>
      </c>
      <c r="D112" s="36" t="s">
        <v>206</v>
      </c>
      <c r="E112" s="3" t="s">
        <v>212</v>
      </c>
      <c r="F112" s="140">
        <v>226300</v>
      </c>
      <c r="G112" s="1" t="s">
        <v>41</v>
      </c>
      <c r="H112" s="1" t="s">
        <v>26</v>
      </c>
      <c r="I112" s="1">
        <v>6</v>
      </c>
      <c r="J112" s="1">
        <v>175</v>
      </c>
      <c r="K112" s="1">
        <f>I112*J112</f>
        <v>1050</v>
      </c>
      <c r="L112" s="1"/>
      <c r="M112" s="1" t="s">
        <v>577</v>
      </c>
      <c r="N112" s="1" t="s">
        <v>20</v>
      </c>
      <c r="O112" s="3" t="s">
        <v>36</v>
      </c>
      <c r="P112" s="4" t="s">
        <v>218</v>
      </c>
      <c r="Q112" s="2" t="s">
        <v>28</v>
      </c>
      <c r="R112" s="162"/>
      <c r="S112" s="160"/>
      <c r="T112" s="161"/>
      <c r="U112" s="160"/>
      <c r="V112" s="160"/>
      <c r="W112" s="160"/>
      <c r="X112" s="162"/>
      <c r="Y112" s="160"/>
      <c r="Z112" s="161"/>
      <c r="AA112" s="160"/>
      <c r="AB112" s="160"/>
      <c r="AC112" s="160"/>
      <c r="AD112" s="163"/>
      <c r="AE112" s="164"/>
      <c r="AF112" s="165"/>
      <c r="AG112" s="164"/>
      <c r="AH112" s="164"/>
      <c r="AI112" s="164"/>
      <c r="AJ112" s="163"/>
      <c r="AK112" s="164"/>
      <c r="AL112" s="165"/>
      <c r="AM112" s="163"/>
      <c r="AN112" s="164"/>
      <c r="AO112" s="165"/>
      <c r="AP112" s="1"/>
      <c r="AQ112" s="1"/>
      <c r="AR112" s="1"/>
      <c r="AS112" s="151">
        <v>21316</v>
      </c>
      <c r="AT112" s="152"/>
      <c r="AU112" s="166"/>
      <c r="AV112" s="156">
        <f>AP112+AS112</f>
        <v>21316</v>
      </c>
      <c r="AW112" s="156">
        <f>AQ112+AT112</f>
        <v>0</v>
      </c>
      <c r="AX112" s="156"/>
      <c r="AY112" s="36"/>
      <c r="AZ112" s="1"/>
      <c r="BA112" s="37"/>
      <c r="BB112" s="157">
        <f>IF($O112="M-Sa",(AV112*5)+AW112+AX112,IF($O112="m-su",(AV112*5)+AW112+AX112,IF($O112="M-F",(AV112*5),IF($O112="T-Su",(AV112*4)+AW112+AX112,IF($O112="T-Sa",(AV112*4)+AW112,IF($O112="T-F",(AV112*4),IF($O112="Su-F",(AV112*5)+AW112+AX112,(AV112*5+AW112+AX112))))))))</f>
        <v>106580</v>
      </c>
      <c r="BC112" s="157">
        <f>IF($O112="M-Sa",(BB112/6),IF($O112="m-su",(BB112/7),IF($O112="M-F",(BB112/5),IF($O112="T-Su",(BB112/6),IF($O112="T-Sa",(BB112/5),IF($O112="T-F",(BB112/4),IF($O112="Su-F",(BB112/6),(BB112/7))))))))</f>
        <v>21316</v>
      </c>
      <c r="BD112" s="167">
        <f>IF($O112="M-Sa",(AY112*5)+AZ112+BA112,IF($O112="m-su",(AY112*5)+AZ112+BA112,IF($O112="M-F",(AY112*5),IF($O112="T-Su",(AY112*4)+AZ112+BA112,IF($O112="T-Sa",(AY112*4)+AZ112,IF($O112="T-F",(AY112*4),IF($O112="Su-F",(AY112*5)+AZ112+BA112,(AY112*5+AZ112+BA112))))))))</f>
        <v>0</v>
      </c>
      <c r="BE112" s="34"/>
      <c r="BF112" s="6"/>
      <c r="BG112" s="215">
        <v>2012</v>
      </c>
      <c r="BH112" s="35"/>
      <c r="BI112" s="5"/>
    </row>
    <row r="113" spans="1:61" s="5" customFormat="1">
      <c r="A113" s="159" t="s">
        <v>341</v>
      </c>
      <c r="B113" s="1" t="s">
        <v>14</v>
      </c>
      <c r="C113" s="1" t="s">
        <v>15</v>
      </c>
      <c r="D113" s="36" t="s">
        <v>206</v>
      </c>
      <c r="E113" s="3" t="s">
        <v>213</v>
      </c>
      <c r="F113" s="140">
        <v>284000</v>
      </c>
      <c r="G113" s="1" t="s">
        <v>41</v>
      </c>
      <c r="H113" s="1" t="s">
        <v>19</v>
      </c>
      <c r="I113" s="1">
        <v>10</v>
      </c>
      <c r="J113" s="1">
        <v>293</v>
      </c>
      <c r="K113" s="1">
        <f>I113*J113</f>
        <v>2930</v>
      </c>
      <c r="L113" s="84" t="s">
        <v>337</v>
      </c>
      <c r="M113" s="84" t="s">
        <v>576</v>
      </c>
      <c r="N113" s="1" t="s">
        <v>20</v>
      </c>
      <c r="O113" s="3" t="s">
        <v>45</v>
      </c>
      <c r="P113" s="4" t="s">
        <v>22</v>
      </c>
      <c r="Q113" s="2" t="s">
        <v>23</v>
      </c>
      <c r="R113" s="144">
        <f>44133-823</f>
        <v>43310</v>
      </c>
      <c r="S113" s="142">
        <f>42893-682</f>
        <v>42211</v>
      </c>
      <c r="T113" s="143"/>
      <c r="U113" s="142">
        <f>823+328</f>
        <v>1151</v>
      </c>
      <c r="V113" s="142">
        <f>682+399</f>
        <v>1081</v>
      </c>
      <c r="W113" s="142"/>
      <c r="X113" s="144">
        <f>R113+U113</f>
        <v>44461</v>
      </c>
      <c r="Y113" s="142">
        <f>S113+V113</f>
        <v>43292</v>
      </c>
      <c r="Z113" s="143"/>
      <c r="AA113" s="142"/>
      <c r="AB113" s="142"/>
      <c r="AC113" s="142"/>
      <c r="AD113" s="148">
        <v>36958</v>
      </c>
      <c r="AE113" s="149">
        <v>40658</v>
      </c>
      <c r="AF113" s="150"/>
      <c r="AG113" s="149">
        <v>8471</v>
      </c>
      <c r="AH113" s="149">
        <v>5483</v>
      </c>
      <c r="AI113" s="149"/>
      <c r="AJ113" s="148">
        <f>AD113+AG113</f>
        <v>45429</v>
      </c>
      <c r="AK113" s="149">
        <f>AE113+AH113</f>
        <v>46141</v>
      </c>
      <c r="AL113" s="150">
        <f>AF113+AI113</f>
        <v>0</v>
      </c>
      <c r="AM113" s="148">
        <v>8178</v>
      </c>
      <c r="AN113" s="149">
        <v>5283</v>
      </c>
      <c r="AO113" s="150"/>
      <c r="AP113" s="152">
        <f>AVERAGE(R113,AD113)</f>
        <v>40134</v>
      </c>
      <c r="AQ113" s="152">
        <f>AVERAGE(S113,AE113)</f>
        <v>41434.5</v>
      </c>
      <c r="AR113" s="152"/>
      <c r="AS113" s="151">
        <f>AVERAGE(U113,AG113)</f>
        <v>4811</v>
      </c>
      <c r="AT113" s="152">
        <f>AVERAGE(V113,AH113)</f>
        <v>3282</v>
      </c>
      <c r="AU113" s="166"/>
      <c r="AV113" s="156">
        <f>AVERAGE(X113,AJ113)</f>
        <v>44945</v>
      </c>
      <c r="AW113" s="156">
        <f>AVERAGE(Y113,AK113)</f>
        <v>44716.5</v>
      </c>
      <c r="AX113" s="156">
        <f>AVERAGE(Z113,AL113)</f>
        <v>0</v>
      </c>
      <c r="AY113" s="151">
        <f>AVERAGE(AA113,AM113)</f>
        <v>8178</v>
      </c>
      <c r="AZ113" s="152">
        <f>AVERAGE(AB113,AN113)</f>
        <v>5283</v>
      </c>
      <c r="BA113" s="166"/>
      <c r="BB113" s="157">
        <f>IF($O113="M-Sa",(AV113*5)+AW113+AX113,IF($O113="m-su",(AV113*5)+AW113+AX113,IF($O113="M-F",(AV113*5),IF($O113="T-Su",(AV113*4)+AW113+AX113,IF($O113="T-Sa",(AV113*4)+AW113,IF($O113="T-F",(AV113*4),IF($O113="Su-F",(AV113*5)+AW113+AX113,(AV113*5+AW113+AX113))))))))</f>
        <v>269441.5</v>
      </c>
      <c r="BC113" s="157">
        <f>IF($O113="M-Sa",(BB113/6),IF($O113="m-su",(BB113/7),IF($O113="M-F",(BB113/5),IF($O113="T-Su",(BB113/6),IF($O113="T-Sa",(BB113/5),IF($O113="T-F",(BB113/4),IF($O113="Su-F",(BB113/6),(BB113/7))))))))</f>
        <v>44906.916666666664</v>
      </c>
      <c r="BD113" s="167">
        <f>IF($O113="M-Sa",(AY113*5)+AZ113+BA113,IF($O113="m-su",(AY113*5)+AZ113+BA113,IF($O113="M-F",(AY113*5),IF($O113="T-Su",(AY113*4)+AZ113+BA113,IF($O113="T-Sa",(AY113*4)+AZ113,IF($O113="T-F",(AY113*4),IF($O113="Su-F",(AY113*5)+AZ113+BA113,(AY113*5+AZ113+BA113))))))))</f>
        <v>46173</v>
      </c>
      <c r="BE113" s="10"/>
      <c r="BF113" s="11"/>
      <c r="BG113" s="11"/>
      <c r="BH113" s="10"/>
      <c r="BI113" s="7"/>
    </row>
    <row r="114" spans="1:61" s="5" customFormat="1">
      <c r="A114" s="159" t="s">
        <v>472</v>
      </c>
      <c r="B114" s="1" t="s">
        <v>14</v>
      </c>
      <c r="C114" s="1" t="s">
        <v>15</v>
      </c>
      <c r="D114" s="36" t="s">
        <v>206</v>
      </c>
      <c r="E114" s="3" t="s">
        <v>213</v>
      </c>
      <c r="F114" s="140">
        <v>284000</v>
      </c>
      <c r="G114" s="1" t="s">
        <v>41</v>
      </c>
      <c r="H114" s="1" t="s">
        <v>26</v>
      </c>
      <c r="I114" s="1">
        <v>6</v>
      </c>
      <c r="J114" s="1">
        <v>175</v>
      </c>
      <c r="K114" s="1">
        <f>I114*J114</f>
        <v>1050</v>
      </c>
      <c r="L114" s="1"/>
      <c r="M114" s="1" t="s">
        <v>577</v>
      </c>
      <c r="N114" s="1" t="s">
        <v>20</v>
      </c>
      <c r="O114" s="3" t="s">
        <v>36</v>
      </c>
      <c r="P114" s="4" t="s">
        <v>218</v>
      </c>
      <c r="Q114" s="2" t="s">
        <v>28</v>
      </c>
      <c r="R114" s="162"/>
      <c r="S114" s="160"/>
      <c r="T114" s="161"/>
      <c r="U114" s="160"/>
      <c r="V114" s="160"/>
      <c r="W114" s="160"/>
      <c r="X114" s="162"/>
      <c r="Y114" s="160"/>
      <c r="Z114" s="161"/>
      <c r="AA114" s="160"/>
      <c r="AB114" s="160"/>
      <c r="AC114" s="160"/>
      <c r="AD114" s="163"/>
      <c r="AE114" s="164"/>
      <c r="AF114" s="165"/>
      <c r="AG114" s="164"/>
      <c r="AH114" s="164"/>
      <c r="AI114" s="164"/>
      <c r="AJ114" s="163"/>
      <c r="AK114" s="164"/>
      <c r="AL114" s="165"/>
      <c r="AM114" s="163"/>
      <c r="AN114" s="164"/>
      <c r="AO114" s="165"/>
      <c r="AP114" s="1"/>
      <c r="AQ114" s="1"/>
      <c r="AR114" s="1"/>
      <c r="AS114" s="151">
        <v>19602</v>
      </c>
      <c r="AT114" s="1"/>
      <c r="AU114" s="37"/>
      <c r="AV114" s="156">
        <f>AP114+AS114</f>
        <v>19602</v>
      </c>
      <c r="AW114" s="156">
        <f>AQ114+AT114</f>
        <v>0</v>
      </c>
      <c r="AX114" s="156"/>
      <c r="AY114" s="36"/>
      <c r="AZ114" s="1"/>
      <c r="BA114" s="37"/>
      <c r="BB114" s="157">
        <f>IF($O114="M-Sa",(AV114*5)+AW114+AX114,IF($O114="m-su",(AV114*5)+AW114+AX114,IF($O114="M-F",(AV114*5),IF($O114="T-Su",(AV114*4)+AW114+AX114,IF($O114="T-Sa",(AV114*4)+AW114,IF($O114="T-F",(AV114*4),IF($O114="Su-F",(AV114*5)+AW114+AX114,(AV114*5+AW114+AX114))))))))</f>
        <v>98010</v>
      </c>
      <c r="BC114" s="157">
        <f>IF($O114="M-Sa",(BB114/6),IF($O114="m-su",(BB114/7),IF($O114="M-F",(BB114/5),IF($O114="T-Su",(BB114/6),IF($O114="T-Sa",(BB114/5),IF($O114="T-F",(BB114/4),IF($O114="Su-F",(BB114/6),(BB114/7))))))))</f>
        <v>19602</v>
      </c>
      <c r="BD114" s="167">
        <f>IF($O114="M-Sa",(AY114*5)+AZ114+BA114,IF($O114="m-su",(AY114*5)+AZ114+BA114,IF($O114="M-F",(AY114*5),IF($O114="T-Su",(AY114*4)+AZ114+BA114,IF($O114="T-Sa",(AY114*4)+AZ114,IF($O114="T-F",(AY114*4),IF($O114="Su-F",(AY114*5)+AZ114+BA114,(AY114*5+AZ114+BA114))))))))</f>
        <v>0</v>
      </c>
      <c r="BE114" s="34"/>
      <c r="BF114" s="6"/>
      <c r="BG114" s="215">
        <v>2012</v>
      </c>
      <c r="BH114" s="35"/>
    </row>
    <row r="115" spans="1:61" s="8" customFormat="1" ht="15.75" thickBot="1">
      <c r="A115" s="217" t="s">
        <v>214</v>
      </c>
      <c r="B115" s="44" t="s">
        <v>14</v>
      </c>
      <c r="C115" s="44" t="s">
        <v>50</v>
      </c>
      <c r="D115" s="45" t="s">
        <v>215</v>
      </c>
      <c r="E115" s="46" t="s">
        <v>216</v>
      </c>
      <c r="F115" s="218">
        <v>26028</v>
      </c>
      <c r="G115" s="44" t="s">
        <v>53</v>
      </c>
      <c r="H115" s="44" t="s">
        <v>26</v>
      </c>
      <c r="I115" s="44">
        <v>5</v>
      </c>
      <c r="J115" s="44">
        <v>190</v>
      </c>
      <c r="K115" s="44">
        <f>I115*J115</f>
        <v>950</v>
      </c>
      <c r="L115" s="219" t="s">
        <v>581</v>
      </c>
      <c r="M115" s="84" t="s">
        <v>576</v>
      </c>
      <c r="N115" s="44" t="s">
        <v>35</v>
      </c>
      <c r="O115" s="46" t="s">
        <v>36</v>
      </c>
      <c r="P115" s="4" t="s">
        <v>98</v>
      </c>
      <c r="Q115" s="220" t="s">
        <v>23</v>
      </c>
      <c r="R115" s="358">
        <v>1564</v>
      </c>
      <c r="S115" s="359"/>
      <c r="T115" s="360"/>
      <c r="U115" s="142">
        <v>399</v>
      </c>
      <c r="V115" s="142"/>
      <c r="W115" s="142"/>
      <c r="X115" s="144">
        <f>R115+U115</f>
        <v>1963</v>
      </c>
      <c r="Y115" s="142">
        <f>S115+V115</f>
        <v>0</v>
      </c>
      <c r="Z115" s="143"/>
      <c r="AA115" s="142"/>
      <c r="AB115" s="142"/>
      <c r="AC115" s="142"/>
      <c r="AD115" s="361">
        <v>1455</v>
      </c>
      <c r="AE115" s="362"/>
      <c r="AF115" s="363"/>
      <c r="AG115" s="149">
        <v>433</v>
      </c>
      <c r="AH115" s="149"/>
      <c r="AI115" s="149"/>
      <c r="AJ115" s="361">
        <f>AD115+AG115</f>
        <v>1888</v>
      </c>
      <c r="AK115" s="362">
        <f>AE115+AH115</f>
        <v>0</v>
      </c>
      <c r="AL115" s="363">
        <f>AF115+AI115</f>
        <v>0</v>
      </c>
      <c r="AM115" s="361"/>
      <c r="AN115" s="362"/>
      <c r="AO115" s="363"/>
      <c r="AP115" s="152">
        <f>AVERAGE(R115,AD115)</f>
        <v>1509.5</v>
      </c>
      <c r="AQ115" s="152"/>
      <c r="AR115" s="152"/>
      <c r="AS115" s="221">
        <f>AVERAGE(U115,AG115)</f>
        <v>416</v>
      </c>
      <c r="AT115" s="222"/>
      <c r="AU115" s="223"/>
      <c r="AV115" s="224">
        <f>AVERAGE(X115,AJ115)</f>
        <v>1925.5</v>
      </c>
      <c r="AW115" s="224">
        <f>AVERAGE(Y115,AK115)</f>
        <v>0</v>
      </c>
      <c r="AX115" s="224">
        <f>AVERAGE(Z115,AL115)</f>
        <v>0</v>
      </c>
      <c r="AY115" s="221"/>
      <c r="AZ115" s="222"/>
      <c r="BA115" s="223"/>
      <c r="BB115" s="225">
        <f>IF($O115="M-Sa",(AV115*5)+AW115+AX115,IF($O115="m-su",(AV115*5)+AW115+AX115,IF($O115="M-F",(AV115*5),IF($O115="T-Su",(AV115*4)+AW115+AX115,IF($O115="T-Sa",(AV115*4)+AW115,IF($O115="T-F",(AV115*4),IF($O115="Su-F",(AV115*5)+AW115+AX115,(AV115*5+AW115+AX115))))))))</f>
        <v>9627.5</v>
      </c>
      <c r="BC115" s="225">
        <f>IF($O115="M-Sa",(BB115/6),IF($O115="m-su",(BB115/7),IF($O115="M-F",(BB115/5),IF($O115="T-Su",(BB115/6),IF($O115="T-Sa",(BB115/5),IF($O115="T-F",(BB115/4),IF($O115="Su-F",(BB115/6),(BB115/7))))))))</f>
        <v>1925.5</v>
      </c>
      <c r="BD115" s="226">
        <f>IF($O115="M-Sa",(AY115*5)+AZ115+BA115,IF($O115="m-su",(AY115*5)+AZ115+BA115,IF($O115="M-F",(AY115*5),IF($O115="T-Su",(AY115*4)+AZ115+BA115,IF($O115="T-Sa",(AY115*4)+AZ115,IF($O115="T-F",(AY115*4),IF($O115="Su-F",(AY115*5)+AZ115+BA115,(AY115*5+AZ115+BA115))))))))</f>
        <v>0</v>
      </c>
      <c r="BE115" s="5"/>
      <c r="BF115" s="227"/>
      <c r="BG115" s="227"/>
      <c r="BH115" s="5"/>
      <c r="BI115" s="5"/>
    </row>
    <row r="116" spans="1:61" s="32" customFormat="1" ht="15.75" thickBot="1">
      <c r="A116" s="26" t="s">
        <v>256</v>
      </c>
      <c r="B116" s="27"/>
      <c r="C116" s="27"/>
      <c r="D116" s="228">
        <f>COUNTA(A96:A115)+COUNTA(A4:A95)</f>
        <v>112</v>
      </c>
      <c r="E116" s="229"/>
      <c r="F116" s="230"/>
      <c r="G116" s="27"/>
      <c r="H116" s="29"/>
      <c r="I116" s="29"/>
      <c r="J116" s="29"/>
      <c r="K116" s="29"/>
      <c r="L116" s="27">
        <f>COUNTA(L96:L115)+COUNTA(L4:L95)</f>
        <v>33</v>
      </c>
      <c r="M116" s="27"/>
      <c r="N116" s="27"/>
      <c r="O116" s="28"/>
      <c r="P116" s="85"/>
      <c r="Q116" s="30"/>
      <c r="R116" s="231"/>
      <c r="S116" s="231"/>
      <c r="T116" s="231"/>
      <c r="U116" s="364"/>
      <c r="V116" s="231"/>
      <c r="W116" s="365"/>
      <c r="X116" s="364"/>
      <c r="Y116" s="231"/>
      <c r="Z116" s="365"/>
      <c r="AA116" s="231"/>
      <c r="AB116" s="231"/>
      <c r="AC116" s="231"/>
      <c r="AD116" s="366"/>
      <c r="AE116" s="232"/>
      <c r="AF116" s="367"/>
      <c r="AG116" s="232"/>
      <c r="AH116" s="232"/>
      <c r="AI116" s="232"/>
      <c r="AJ116" s="366"/>
      <c r="AK116" s="232"/>
      <c r="AL116" s="367"/>
      <c r="AM116" s="366"/>
      <c r="AN116" s="232"/>
      <c r="AO116" s="367"/>
      <c r="AP116" s="317">
        <f>SUM(AP4:AP115)</f>
        <v>3105518.1</v>
      </c>
      <c r="AQ116" s="317">
        <f t="shared" ref="AQ116:BA116" si="0">SUM(AQ4:AQ115)</f>
        <v>3402167.5</v>
      </c>
      <c r="AR116" s="317">
        <f t="shared" si="0"/>
        <v>1098199</v>
      </c>
      <c r="AS116" s="318">
        <f t="shared" si="0"/>
        <v>2499055.2999999998</v>
      </c>
      <c r="AT116" s="317">
        <f t="shared" si="0"/>
        <v>912603</v>
      </c>
      <c r="AU116" s="319">
        <f t="shared" si="0"/>
        <v>679014.5</v>
      </c>
      <c r="AV116" s="320">
        <f t="shared" si="0"/>
        <v>5604532.4000000004</v>
      </c>
      <c r="AW116" s="321">
        <f t="shared" si="0"/>
        <v>4314729.5</v>
      </c>
      <c r="AX116" s="322">
        <f t="shared" si="0"/>
        <v>1765099</v>
      </c>
      <c r="AY116" s="317">
        <f t="shared" si="0"/>
        <v>946160.6</v>
      </c>
      <c r="AZ116" s="317">
        <f t="shared" si="0"/>
        <v>827311.5</v>
      </c>
      <c r="BA116" s="317">
        <f t="shared" si="0"/>
        <v>306687</v>
      </c>
      <c r="BB116" s="47">
        <f>SUM(BB4:BB115)</f>
        <v>34004893</v>
      </c>
      <c r="BC116" s="48">
        <f>SUM(BC4:BC115)</f>
        <v>5684262.458333333</v>
      </c>
      <c r="BD116" s="48">
        <f>SUM(BD4:BD115)</f>
        <v>5862719.5</v>
      </c>
      <c r="BE116" s="49"/>
      <c r="BF116" s="31"/>
      <c r="BI116" s="32">
        <f>BC116/D116</f>
        <v>50752.343377976191</v>
      </c>
    </row>
    <row r="117" spans="1:61" s="240" customFormat="1">
      <c r="A117" s="233"/>
      <c r="B117" s="234"/>
      <c r="C117" s="234"/>
      <c r="D117" s="234"/>
      <c r="E117" s="235"/>
      <c r="F117" s="236"/>
      <c r="G117" s="234"/>
      <c r="H117" s="237"/>
      <c r="I117" s="237"/>
      <c r="J117" s="237"/>
      <c r="K117" s="237"/>
      <c r="L117" s="234"/>
      <c r="M117" s="234"/>
      <c r="N117" s="234"/>
      <c r="O117" s="235"/>
      <c r="P117" s="235"/>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c r="BB117" s="238"/>
      <c r="BC117" s="238"/>
      <c r="BD117" s="238"/>
      <c r="BE117" s="239"/>
    </row>
    <row r="118" spans="1:61" s="240" customFormat="1">
      <c r="A118" s="233"/>
      <c r="B118" s="234"/>
      <c r="C118" s="234"/>
      <c r="D118" s="234"/>
      <c r="E118" s="235"/>
      <c r="F118" s="236"/>
      <c r="G118" s="234"/>
      <c r="H118" s="237"/>
      <c r="I118" s="237"/>
      <c r="J118" s="237"/>
      <c r="K118" s="237"/>
      <c r="L118" s="234"/>
      <c r="M118" s="234"/>
      <c r="N118" s="234"/>
      <c r="O118" s="235"/>
      <c r="P118" s="235"/>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8"/>
      <c r="BC118" s="238"/>
      <c r="BD118" s="238"/>
      <c r="BE118" s="239"/>
    </row>
    <row r="119" spans="1:61" s="240" customFormat="1" ht="15.75">
      <c r="A119" s="368" t="s">
        <v>257</v>
      </c>
      <c r="B119" s="241"/>
      <c r="C119" s="241"/>
      <c r="D119" s="241"/>
      <c r="E119" s="241"/>
      <c r="F119" s="242"/>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39"/>
    </row>
    <row r="120" spans="1:61" s="251" customFormat="1" ht="15.75">
      <c r="A120" s="323" t="s">
        <v>518</v>
      </c>
      <c r="B120" s="243"/>
      <c r="C120" s="243"/>
      <c r="D120" s="244"/>
      <c r="E120" s="245"/>
      <c r="F120" s="246"/>
      <c r="G120" s="244"/>
      <c r="H120" s="243"/>
      <c r="I120" s="243"/>
      <c r="J120" s="243"/>
      <c r="K120" s="243"/>
      <c r="L120" s="243"/>
      <c r="M120" s="243"/>
      <c r="N120" s="243"/>
      <c r="O120" s="247"/>
      <c r="P120" s="247"/>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8"/>
      <c r="BC120" s="248"/>
      <c r="BD120" s="248"/>
      <c r="BE120" s="249"/>
      <c r="BF120" s="250"/>
      <c r="BG120" s="250"/>
      <c r="BH120" s="250"/>
    </row>
    <row r="121" spans="1:61" s="252" customFormat="1" ht="15.75">
      <c r="A121" s="323" t="s">
        <v>258</v>
      </c>
      <c r="F121" s="253"/>
      <c r="G121" s="254"/>
      <c r="I121" s="254"/>
    </row>
    <row r="122" spans="1:61" s="252" customFormat="1" ht="15.75">
      <c r="A122" s="323" t="s">
        <v>473</v>
      </c>
      <c r="F122" s="253"/>
      <c r="G122" s="254"/>
      <c r="I122" s="254"/>
    </row>
    <row r="123" spans="1:61" s="252" customFormat="1" ht="15.75">
      <c r="A123" s="323" t="s">
        <v>519</v>
      </c>
      <c r="F123" s="253"/>
      <c r="G123" s="254"/>
      <c r="I123" s="254"/>
    </row>
    <row r="124" spans="1:61" s="252" customFormat="1" ht="15.75">
      <c r="A124" s="323" t="s">
        <v>474</v>
      </c>
      <c r="F124" s="253"/>
      <c r="G124" s="254"/>
      <c r="I124" s="254"/>
    </row>
    <row r="125" spans="1:61" s="252" customFormat="1" ht="15.75">
      <c r="A125" s="323" t="s">
        <v>475</v>
      </c>
      <c r="F125" s="253"/>
      <c r="G125" s="254"/>
      <c r="I125" s="254"/>
    </row>
    <row r="126" spans="1:61" s="252" customFormat="1" ht="15.75">
      <c r="A126" s="323" t="s">
        <v>520</v>
      </c>
      <c r="F126" s="253"/>
      <c r="G126" s="254"/>
      <c r="I126" s="254"/>
    </row>
    <row r="127" spans="1:61" s="252" customFormat="1" ht="15.75">
      <c r="A127" s="323"/>
      <c r="F127" s="253"/>
      <c r="G127" s="254"/>
      <c r="I127" s="254"/>
    </row>
    <row r="128" spans="1:61" s="265" customFormat="1" ht="15.75">
      <c r="A128" s="324" t="s">
        <v>476</v>
      </c>
      <c r="B128" s="255"/>
      <c r="C128" s="255"/>
      <c r="D128" s="255"/>
      <c r="E128" s="256"/>
      <c r="F128" s="257"/>
      <c r="G128" s="258"/>
      <c r="H128" s="259"/>
      <c r="I128" s="260"/>
      <c r="J128" s="259"/>
      <c r="K128" s="259"/>
      <c r="L128" s="259"/>
      <c r="M128" s="259"/>
      <c r="N128" s="261"/>
      <c r="O128" s="262"/>
      <c r="P128" s="262"/>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c r="BB128" s="263"/>
      <c r="BC128" s="263"/>
      <c r="BD128" s="263"/>
      <c r="BE128" s="264"/>
      <c r="BF128" s="264"/>
      <c r="BG128" s="264"/>
      <c r="BH128" s="264"/>
    </row>
    <row r="129" spans="1:60" s="265" customFormat="1" ht="15.75">
      <c r="A129" s="323" t="s">
        <v>521</v>
      </c>
      <c r="B129" s="255"/>
      <c r="C129" s="255"/>
      <c r="D129" s="255"/>
      <c r="E129" s="256"/>
      <c r="F129" s="257"/>
      <c r="G129" s="258"/>
      <c r="H129" s="259"/>
      <c r="I129" s="260"/>
      <c r="J129" s="259"/>
      <c r="K129" s="259"/>
      <c r="L129" s="259"/>
      <c r="M129" s="259"/>
      <c r="N129" s="261"/>
      <c r="O129" s="262"/>
      <c r="P129" s="262"/>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3"/>
      <c r="BC129" s="263"/>
      <c r="BD129" s="263"/>
      <c r="BE129" s="264"/>
      <c r="BF129" s="264"/>
      <c r="BG129" s="264"/>
      <c r="BH129" s="264"/>
    </row>
    <row r="130" spans="1:60" s="265" customFormat="1" ht="15.75">
      <c r="A130" s="323" t="s">
        <v>522</v>
      </c>
      <c r="B130" s="255"/>
      <c r="C130" s="255"/>
      <c r="D130" s="255"/>
      <c r="E130" s="256"/>
      <c r="F130" s="257"/>
      <c r="G130" s="258"/>
      <c r="H130" s="259"/>
      <c r="I130" s="260"/>
      <c r="J130" s="259"/>
      <c r="K130" s="259"/>
      <c r="L130" s="259"/>
      <c r="M130" s="259"/>
      <c r="N130" s="261"/>
      <c r="O130" s="262"/>
      <c r="P130" s="262"/>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c r="BB130" s="263"/>
      <c r="BC130" s="263"/>
      <c r="BD130" s="263"/>
      <c r="BE130" s="264"/>
      <c r="BF130" s="264"/>
      <c r="BG130" s="264"/>
      <c r="BH130" s="264"/>
    </row>
    <row r="131" spans="1:60" s="265" customFormat="1" ht="15.75">
      <c r="A131" s="323" t="s">
        <v>477</v>
      </c>
      <c r="B131" s="255"/>
      <c r="C131" s="255"/>
      <c r="D131" s="255"/>
      <c r="E131" s="256"/>
      <c r="F131" s="257"/>
      <c r="G131" s="258"/>
      <c r="H131" s="259"/>
      <c r="I131" s="260"/>
      <c r="J131" s="259"/>
      <c r="K131" s="259"/>
      <c r="L131" s="259"/>
      <c r="M131" s="259"/>
      <c r="N131" s="261"/>
      <c r="O131" s="262"/>
      <c r="P131" s="262"/>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c r="BB131" s="263"/>
      <c r="BC131" s="263"/>
      <c r="BD131" s="263"/>
      <c r="BE131" s="264"/>
      <c r="BF131" s="264"/>
      <c r="BG131" s="264"/>
      <c r="BH131" s="264"/>
    </row>
    <row r="132" spans="1:60" s="265" customFormat="1" ht="15.75">
      <c r="A132" s="323"/>
      <c r="B132" s="255"/>
      <c r="C132" s="255"/>
      <c r="D132" s="255"/>
      <c r="E132" s="256"/>
      <c r="F132" s="257"/>
      <c r="G132" s="258"/>
      <c r="H132" s="259"/>
      <c r="I132" s="260"/>
      <c r="J132" s="259"/>
      <c r="K132" s="259"/>
      <c r="L132" s="259"/>
      <c r="M132" s="259"/>
      <c r="N132" s="261"/>
      <c r="O132" s="262"/>
      <c r="P132" s="262"/>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3"/>
      <c r="BC132" s="263"/>
      <c r="BD132" s="263"/>
      <c r="BE132" s="264"/>
      <c r="BF132" s="264"/>
      <c r="BG132" s="264"/>
      <c r="BH132" s="264"/>
    </row>
    <row r="133" spans="1:60" s="266" customFormat="1" ht="15.75">
      <c r="A133" s="325" t="s">
        <v>523</v>
      </c>
      <c r="D133" s="267"/>
      <c r="E133" s="268"/>
      <c r="F133" s="269"/>
      <c r="G133" s="270"/>
      <c r="H133" s="271"/>
      <c r="I133" s="272"/>
      <c r="J133" s="271"/>
      <c r="K133" s="271"/>
      <c r="L133" s="271"/>
      <c r="M133" s="271"/>
      <c r="N133" s="273"/>
      <c r="O133" s="274"/>
      <c r="P133" s="274"/>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5"/>
      <c r="BC133" s="275"/>
      <c r="BD133" s="275"/>
      <c r="BE133" s="276"/>
      <c r="BF133" s="276"/>
      <c r="BG133" s="276"/>
      <c r="BH133" s="276"/>
    </row>
    <row r="134" spans="1:60" s="266" customFormat="1" ht="15.75">
      <c r="A134" s="325" t="s">
        <v>478</v>
      </c>
      <c r="D134" s="267"/>
      <c r="E134" s="268"/>
      <c r="F134" s="269"/>
      <c r="G134" s="270"/>
      <c r="H134" s="271"/>
      <c r="I134" s="272"/>
      <c r="J134" s="271"/>
      <c r="K134" s="271"/>
      <c r="L134" s="271"/>
      <c r="M134" s="271"/>
      <c r="N134" s="273"/>
      <c r="O134" s="274"/>
      <c r="P134" s="274"/>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5"/>
      <c r="BC134" s="275"/>
      <c r="BD134" s="275"/>
      <c r="BE134" s="276"/>
      <c r="BF134" s="276"/>
      <c r="BG134" s="276"/>
      <c r="BH134" s="276"/>
    </row>
    <row r="135" spans="1:60" s="266" customFormat="1" ht="15.75">
      <c r="A135" s="325" t="s">
        <v>555</v>
      </c>
      <c r="D135" s="267"/>
      <c r="E135" s="268"/>
      <c r="F135" s="269"/>
      <c r="G135" s="270"/>
      <c r="H135" s="271"/>
      <c r="I135" s="272"/>
      <c r="J135" s="271"/>
      <c r="K135" s="271"/>
      <c r="L135" s="271"/>
      <c r="M135" s="271"/>
      <c r="N135" s="273"/>
      <c r="O135" s="274"/>
      <c r="P135" s="274"/>
      <c r="Q135" s="273"/>
      <c r="R135" s="273"/>
      <c r="S135" s="273"/>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5"/>
      <c r="BC135" s="275"/>
      <c r="BD135" s="275"/>
      <c r="BE135" s="276"/>
      <c r="BF135" s="276"/>
      <c r="BG135" s="276"/>
      <c r="BH135" s="276"/>
    </row>
    <row r="136" spans="1:60" s="277" customFormat="1" ht="15.75">
      <c r="A136" s="325"/>
      <c r="D136" s="278"/>
      <c r="E136" s="279"/>
      <c r="F136" s="280"/>
      <c r="G136" s="281"/>
      <c r="H136" s="282"/>
      <c r="I136" s="283"/>
      <c r="J136" s="282"/>
      <c r="K136" s="282"/>
      <c r="L136" s="282"/>
      <c r="M136" s="282"/>
      <c r="N136" s="284"/>
      <c r="O136" s="285"/>
      <c r="P136" s="285"/>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6"/>
      <c r="BC136" s="286"/>
      <c r="BD136" s="286"/>
      <c r="BE136" s="287"/>
      <c r="BF136" s="287"/>
      <c r="BG136" s="287"/>
      <c r="BH136" s="287"/>
    </row>
    <row r="137" spans="1:60" s="277" customFormat="1" ht="15.75">
      <c r="A137" s="326" t="s">
        <v>259</v>
      </c>
      <c r="D137" s="278"/>
      <c r="E137" s="279"/>
      <c r="F137" s="280"/>
      <c r="G137" s="281"/>
      <c r="H137" s="282"/>
      <c r="I137" s="283"/>
      <c r="J137" s="282"/>
      <c r="K137" s="282"/>
      <c r="L137" s="282"/>
      <c r="M137" s="282"/>
      <c r="N137" s="284"/>
      <c r="O137" s="285"/>
      <c r="P137" s="285"/>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6"/>
      <c r="BC137" s="286"/>
      <c r="BD137" s="286"/>
      <c r="BE137" s="287"/>
      <c r="BF137" s="287"/>
      <c r="BG137" s="287"/>
      <c r="BH137" s="287"/>
    </row>
    <row r="138" spans="1:60" s="277" customFormat="1" ht="15.75">
      <c r="A138" s="327" t="s">
        <v>524</v>
      </c>
      <c r="D138" s="278"/>
      <c r="E138" s="279"/>
      <c r="F138" s="280"/>
      <c r="G138" s="281"/>
      <c r="H138" s="282"/>
      <c r="I138" s="283"/>
      <c r="J138" s="282"/>
      <c r="K138" s="282"/>
      <c r="L138" s="282"/>
      <c r="M138" s="282"/>
      <c r="N138" s="284"/>
      <c r="O138" s="285"/>
      <c r="P138" s="285"/>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6"/>
      <c r="BC138" s="286"/>
      <c r="BD138" s="286"/>
      <c r="BE138" s="287"/>
      <c r="BF138" s="287"/>
      <c r="BG138" s="287"/>
      <c r="BH138" s="287"/>
    </row>
    <row r="139" spans="1:60" s="277" customFormat="1" ht="15.75">
      <c r="A139" s="328" t="s">
        <v>525</v>
      </c>
      <c r="D139" s="278"/>
      <c r="E139" s="279"/>
      <c r="F139" s="280"/>
      <c r="G139" s="281"/>
      <c r="H139" s="282"/>
      <c r="I139" s="283"/>
      <c r="J139" s="282"/>
      <c r="K139" s="282"/>
      <c r="L139" s="282"/>
      <c r="M139" s="282"/>
      <c r="N139" s="284"/>
      <c r="O139" s="285"/>
      <c r="P139" s="285"/>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6"/>
      <c r="BC139" s="286"/>
      <c r="BD139" s="286"/>
      <c r="BE139" s="287"/>
      <c r="BF139" s="287"/>
      <c r="BG139" s="287"/>
      <c r="BH139" s="287"/>
    </row>
    <row r="140" spans="1:60" s="277" customFormat="1" ht="15.75">
      <c r="A140" s="327" t="s">
        <v>526</v>
      </c>
      <c r="D140" s="278"/>
      <c r="E140" s="279"/>
      <c r="F140" s="280"/>
      <c r="G140" s="281"/>
      <c r="H140" s="282"/>
      <c r="I140" s="283"/>
      <c r="J140" s="282"/>
      <c r="K140" s="282"/>
      <c r="L140" s="282"/>
      <c r="M140" s="282"/>
      <c r="N140" s="284"/>
      <c r="O140" s="285"/>
      <c r="P140" s="285"/>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6"/>
      <c r="BC140" s="286"/>
      <c r="BD140" s="286"/>
      <c r="BE140" s="287"/>
      <c r="BF140" s="287"/>
      <c r="BG140" s="287"/>
      <c r="BH140" s="287"/>
    </row>
    <row r="141" spans="1:60" s="277" customFormat="1" ht="15.75">
      <c r="A141" s="328" t="s">
        <v>527</v>
      </c>
      <c r="D141" s="278"/>
      <c r="E141" s="279"/>
      <c r="F141" s="280"/>
      <c r="G141" s="281"/>
      <c r="H141" s="282"/>
      <c r="I141" s="283"/>
      <c r="J141" s="282"/>
      <c r="K141" s="282"/>
      <c r="L141" s="282"/>
      <c r="M141" s="282"/>
      <c r="N141" s="284"/>
      <c r="O141" s="285"/>
      <c r="P141" s="285"/>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6"/>
      <c r="BC141" s="286"/>
      <c r="BD141" s="286"/>
      <c r="BE141" s="287"/>
      <c r="BF141" s="287"/>
      <c r="BG141" s="287"/>
      <c r="BH141" s="287"/>
    </row>
    <row r="142" spans="1:60" s="277" customFormat="1" ht="15.75">
      <c r="A142" s="328" t="s">
        <v>528</v>
      </c>
      <c r="D142" s="278"/>
      <c r="E142" s="279"/>
      <c r="F142" s="280"/>
      <c r="G142" s="281"/>
      <c r="H142" s="282"/>
      <c r="I142" s="283"/>
      <c r="J142" s="282"/>
      <c r="K142" s="282"/>
      <c r="L142" s="282"/>
      <c r="M142" s="282"/>
      <c r="N142" s="284"/>
      <c r="O142" s="285"/>
      <c r="P142" s="285"/>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6"/>
      <c r="BC142" s="286"/>
      <c r="BD142" s="286"/>
      <c r="BE142" s="287"/>
      <c r="BF142" s="287"/>
      <c r="BG142" s="287"/>
      <c r="BH142" s="287"/>
    </row>
    <row r="143" spans="1:60" s="277" customFormat="1" ht="15.75">
      <c r="A143" s="326"/>
      <c r="D143" s="278"/>
      <c r="E143" s="279"/>
      <c r="F143" s="280"/>
      <c r="G143" s="281"/>
      <c r="H143" s="282"/>
      <c r="I143" s="283"/>
      <c r="J143" s="282"/>
      <c r="K143" s="282"/>
      <c r="L143" s="282"/>
      <c r="M143" s="282"/>
      <c r="N143" s="284"/>
      <c r="O143" s="285"/>
      <c r="P143" s="285"/>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6"/>
      <c r="BC143" s="286"/>
      <c r="BD143" s="286"/>
      <c r="BE143" s="287"/>
      <c r="BF143" s="287"/>
      <c r="BG143" s="287"/>
      <c r="BH143" s="287"/>
    </row>
    <row r="144" spans="1:60" s="252" customFormat="1" ht="15.75">
      <c r="A144" s="326" t="s">
        <v>556</v>
      </c>
      <c r="D144" s="255"/>
      <c r="E144" s="256"/>
      <c r="F144" s="257"/>
      <c r="G144" s="258"/>
      <c r="I144" s="254"/>
      <c r="O144" s="288"/>
      <c r="P144" s="288"/>
      <c r="BB144" s="289"/>
      <c r="BC144" s="289"/>
      <c r="BD144" s="289"/>
      <c r="BE144" s="290"/>
      <c r="BF144" s="290"/>
      <c r="BG144" s="290"/>
      <c r="BH144" s="290"/>
    </row>
    <row r="145" spans="1:61" s="291" customFormat="1">
      <c r="A145" s="369" t="s">
        <v>557</v>
      </c>
      <c r="D145" s="292"/>
      <c r="E145" s="293"/>
      <c r="F145" s="294"/>
      <c r="G145" s="295"/>
      <c r="I145" s="296"/>
      <c r="O145" s="297"/>
      <c r="P145" s="297"/>
      <c r="BB145" s="298"/>
      <c r="BC145" s="298"/>
      <c r="BD145" s="298"/>
      <c r="BE145" s="299"/>
      <c r="BF145" s="299"/>
      <c r="BG145" s="299"/>
      <c r="BH145" s="299"/>
    </row>
    <row r="146" spans="1:61" s="291" customFormat="1">
      <c r="A146" s="369" t="s">
        <v>558</v>
      </c>
      <c r="D146" s="292"/>
      <c r="E146" s="293"/>
      <c r="F146" s="294"/>
      <c r="G146" s="295"/>
      <c r="I146" s="296"/>
      <c r="O146" s="297"/>
      <c r="P146" s="297"/>
      <c r="BB146" s="298"/>
      <c r="BC146" s="298"/>
      <c r="BD146" s="298"/>
      <c r="BE146" s="299"/>
      <c r="BF146" s="299"/>
      <c r="BG146" s="299"/>
      <c r="BH146" s="299"/>
    </row>
    <row r="147" spans="1:61" s="291" customFormat="1">
      <c r="A147" s="369" t="s">
        <v>559</v>
      </c>
      <c r="D147" s="292"/>
      <c r="E147" s="293"/>
      <c r="F147" s="294"/>
      <c r="G147" s="295"/>
      <c r="I147" s="296"/>
      <c r="O147" s="297"/>
      <c r="P147" s="297"/>
      <c r="BB147" s="298"/>
      <c r="BC147" s="298"/>
      <c r="BD147" s="298"/>
      <c r="BE147" s="299"/>
      <c r="BF147" s="299"/>
      <c r="BG147" s="299"/>
      <c r="BH147" s="299"/>
    </row>
    <row r="148" spans="1:61" s="291" customFormat="1">
      <c r="A148" s="369" t="s">
        <v>560</v>
      </c>
      <c r="D148" s="292"/>
      <c r="E148" s="293"/>
      <c r="F148" s="294"/>
      <c r="G148" s="295"/>
      <c r="I148" s="296"/>
      <c r="O148" s="297"/>
      <c r="P148" s="297"/>
      <c r="BB148" s="298"/>
      <c r="BC148" s="298"/>
      <c r="BD148" s="298"/>
      <c r="BE148" s="299"/>
      <c r="BF148" s="299"/>
      <c r="BG148" s="299"/>
      <c r="BH148" s="299"/>
    </row>
    <row r="149" spans="1:61" s="291" customFormat="1">
      <c r="A149" s="369" t="s">
        <v>561</v>
      </c>
      <c r="D149" s="292"/>
      <c r="E149" s="293"/>
      <c r="F149" s="294"/>
      <c r="G149" s="295"/>
      <c r="I149" s="296"/>
      <c r="O149" s="297"/>
      <c r="P149" s="297"/>
      <c r="BB149" s="298"/>
      <c r="BC149" s="298"/>
      <c r="BD149" s="298"/>
      <c r="BE149" s="299"/>
      <c r="BF149" s="299"/>
      <c r="BG149" s="299"/>
      <c r="BH149" s="299"/>
    </row>
    <row r="150" spans="1:61" s="291" customFormat="1">
      <c r="A150" s="369" t="s">
        <v>562</v>
      </c>
      <c r="D150" s="292"/>
      <c r="E150" s="293"/>
      <c r="F150" s="294"/>
      <c r="G150" s="295"/>
      <c r="I150" s="296"/>
      <c r="O150" s="297"/>
      <c r="P150" s="297"/>
      <c r="BB150" s="298"/>
      <c r="BC150" s="298"/>
      <c r="BD150" s="298"/>
      <c r="BE150" s="299"/>
      <c r="BF150" s="299"/>
      <c r="BG150" s="299"/>
      <c r="BH150" s="299"/>
    </row>
    <row r="151" spans="1:61" s="291" customFormat="1">
      <c r="A151" s="369" t="s">
        <v>563</v>
      </c>
      <c r="D151" s="292"/>
      <c r="E151" s="293"/>
      <c r="F151" s="294"/>
      <c r="G151" s="295"/>
      <c r="I151" s="296"/>
      <c r="O151" s="297"/>
      <c r="P151" s="297"/>
      <c r="BB151" s="298"/>
      <c r="BC151" s="298"/>
      <c r="BD151" s="298"/>
      <c r="BE151" s="299"/>
      <c r="BF151" s="299"/>
      <c r="BG151" s="299"/>
      <c r="BH151" s="299"/>
    </row>
    <row r="152" spans="1:61" s="291" customFormat="1">
      <c r="A152" s="369"/>
      <c r="D152" s="292"/>
      <c r="E152" s="293"/>
      <c r="F152" s="294"/>
      <c r="G152" s="295"/>
      <c r="I152" s="296"/>
      <c r="O152" s="297"/>
      <c r="P152" s="297"/>
      <c r="BB152" s="298"/>
      <c r="BC152" s="298"/>
      <c r="BD152" s="298"/>
      <c r="BE152" s="299"/>
      <c r="BF152" s="299"/>
      <c r="BG152" s="299"/>
      <c r="BH152" s="299"/>
    </row>
    <row r="153" spans="1:61" s="291" customFormat="1">
      <c r="A153" s="369"/>
      <c r="D153" s="292"/>
      <c r="E153" s="293"/>
      <c r="F153" s="294"/>
      <c r="G153" s="295"/>
      <c r="I153" s="296"/>
      <c r="O153" s="297"/>
      <c r="P153" s="297"/>
      <c r="BB153" s="298"/>
      <c r="BC153" s="298"/>
      <c r="BD153" s="298"/>
      <c r="BE153" s="299"/>
      <c r="BF153" s="299"/>
      <c r="BG153" s="299"/>
      <c r="BH153" s="299"/>
    </row>
    <row r="154" spans="1:61" s="291" customFormat="1">
      <c r="A154" s="369"/>
      <c r="D154" s="292"/>
      <c r="E154" s="293"/>
      <c r="F154" s="294"/>
      <c r="G154" s="295"/>
      <c r="I154" s="296"/>
      <c r="O154" s="297"/>
      <c r="P154" s="297"/>
      <c r="BB154" s="298"/>
      <c r="BC154" s="298"/>
      <c r="BD154" s="298"/>
      <c r="BE154" s="299"/>
      <c r="BF154" s="299"/>
      <c r="BG154" s="299"/>
      <c r="BH154" s="299"/>
    </row>
    <row r="155" spans="1:61" s="291" customFormat="1">
      <c r="A155" s="369"/>
      <c r="D155" s="292"/>
      <c r="E155" s="293"/>
      <c r="F155" s="294"/>
      <c r="G155" s="295"/>
      <c r="I155" s="296"/>
      <c r="O155" s="297"/>
      <c r="P155" s="297"/>
      <c r="BB155" s="298"/>
      <c r="BC155" s="298"/>
      <c r="BD155" s="298"/>
      <c r="BE155" s="299"/>
      <c r="BF155" s="299"/>
      <c r="BG155" s="299"/>
      <c r="BH155" s="299"/>
    </row>
    <row r="156" spans="1:61" s="291" customFormat="1">
      <c r="A156" s="380"/>
      <c r="D156" s="292"/>
      <c r="E156" s="293"/>
      <c r="F156" s="294"/>
      <c r="G156" s="295"/>
      <c r="I156" s="296"/>
      <c r="O156" s="297"/>
      <c r="P156" s="297"/>
      <c r="BB156" s="298"/>
      <c r="BC156" s="298"/>
      <c r="BD156" s="298"/>
      <c r="BE156" s="299"/>
      <c r="BF156" s="299"/>
      <c r="BG156" s="299"/>
      <c r="BH156" s="299"/>
    </row>
    <row r="157" spans="1:61" s="51" customFormat="1">
      <c r="A157" s="50"/>
      <c r="D157" s="52"/>
      <c r="E157" s="53"/>
      <c r="F157" s="300"/>
      <c r="G157" s="54"/>
      <c r="I157" s="55"/>
      <c r="O157" s="56"/>
      <c r="P157" s="56"/>
      <c r="R157" s="301"/>
      <c r="S157" s="301"/>
      <c r="T157" s="301"/>
      <c r="U157" s="301"/>
      <c r="V157" s="301"/>
      <c r="W157" s="301"/>
      <c r="X157" s="301"/>
      <c r="Y157" s="301"/>
      <c r="Z157" s="301"/>
      <c r="AA157" s="301"/>
      <c r="AB157" s="301"/>
      <c r="AC157" s="301"/>
      <c r="AD157" s="302"/>
      <c r="AE157" s="302"/>
      <c r="AF157" s="302"/>
      <c r="AG157" s="302"/>
      <c r="AH157" s="302"/>
      <c r="AI157" s="302"/>
      <c r="AJ157" s="302"/>
      <c r="AK157" s="302"/>
      <c r="AL157" s="302"/>
      <c r="AM157" s="302"/>
      <c r="AN157" s="302"/>
      <c r="AO157" s="302"/>
      <c r="BB157" s="57"/>
      <c r="BC157" s="57"/>
      <c r="BD157" s="57"/>
      <c r="BE157" s="58"/>
      <c r="BF157" s="58"/>
      <c r="BG157" s="58"/>
      <c r="BH157" s="58"/>
    </row>
    <row r="158" spans="1:61" s="7" customFormat="1">
      <c r="A158" s="381" t="s">
        <v>582</v>
      </c>
      <c r="B158" s="382" t="s">
        <v>14</v>
      </c>
      <c r="C158" s="382" t="s">
        <v>95</v>
      </c>
      <c r="D158" s="383" t="s">
        <v>109</v>
      </c>
      <c r="E158" s="384" t="s">
        <v>583</v>
      </c>
      <c r="F158" s="385">
        <v>9811</v>
      </c>
      <c r="G158" s="382" t="s">
        <v>53</v>
      </c>
      <c r="H158" s="382" t="s">
        <v>26</v>
      </c>
      <c r="I158" s="382">
        <v>8</v>
      </c>
      <c r="J158" s="382">
        <v>196</v>
      </c>
      <c r="K158" s="382">
        <f t="shared" ref="K158:K164" si="1">I158*J158</f>
        <v>1568</v>
      </c>
      <c r="L158" s="386"/>
      <c r="M158" s="386"/>
      <c r="N158" s="387" t="s">
        <v>20</v>
      </c>
      <c r="O158" s="388" t="s">
        <v>36</v>
      </c>
      <c r="P158" s="389" t="s">
        <v>107</v>
      </c>
      <c r="Q158" s="383" t="s">
        <v>64</v>
      </c>
      <c r="R158" s="160"/>
      <c r="S158" s="160"/>
      <c r="T158" s="160"/>
      <c r="U158" s="160"/>
      <c r="V158" s="160"/>
      <c r="W158" s="160"/>
      <c r="X158" s="160"/>
      <c r="Y158" s="160"/>
      <c r="Z158" s="160"/>
      <c r="AA158" s="160"/>
      <c r="AB158" s="160"/>
      <c r="AC158" s="160"/>
      <c r="AD158" s="164"/>
      <c r="AE158" s="164"/>
      <c r="AF158" s="164"/>
      <c r="AG158" s="164"/>
      <c r="AH158" s="164"/>
      <c r="AI158" s="164"/>
      <c r="AJ158" s="164"/>
      <c r="AK158" s="164"/>
      <c r="AL158" s="164"/>
      <c r="AM158" s="164"/>
      <c r="AN158" s="164"/>
      <c r="AO158" s="164"/>
      <c r="AP158" s="1"/>
      <c r="AQ158" s="1"/>
      <c r="AR158" s="1"/>
      <c r="AS158" s="1"/>
      <c r="AT158" s="1"/>
      <c r="AU158" s="1"/>
      <c r="AV158" s="1"/>
      <c r="AW158" s="1"/>
      <c r="AX158" s="1"/>
      <c r="AY158" s="1"/>
      <c r="AZ158" s="1"/>
      <c r="BA158" s="1"/>
      <c r="BB158" s="390"/>
      <c r="BC158" s="391"/>
      <c r="BD158" s="392"/>
      <c r="BE158" s="5"/>
      <c r="BF158" s="6" t="s">
        <v>110</v>
      </c>
      <c r="BG158" s="5"/>
      <c r="BH158" s="5"/>
      <c r="BI158" s="5"/>
    </row>
    <row r="159" spans="1:61" s="5" customFormat="1">
      <c r="A159" s="393" t="s">
        <v>584</v>
      </c>
      <c r="B159" s="382" t="s">
        <v>14</v>
      </c>
      <c r="C159" s="382" t="s">
        <v>15</v>
      </c>
      <c r="D159" s="383" t="s">
        <v>87</v>
      </c>
      <c r="E159" s="384" t="s">
        <v>585</v>
      </c>
      <c r="F159" s="385">
        <v>12996</v>
      </c>
      <c r="G159" s="382" t="s">
        <v>53</v>
      </c>
      <c r="H159" s="382" t="s">
        <v>19</v>
      </c>
      <c r="I159" s="382">
        <v>10</v>
      </c>
      <c r="J159" s="394">
        <v>160</v>
      </c>
      <c r="K159" s="382">
        <f t="shared" si="1"/>
        <v>1600</v>
      </c>
      <c r="L159" s="386"/>
      <c r="M159" s="386"/>
      <c r="N159" s="387" t="s">
        <v>35</v>
      </c>
      <c r="O159" s="388" t="s">
        <v>79</v>
      </c>
      <c r="P159" s="389" t="s">
        <v>27</v>
      </c>
      <c r="Q159" s="383" t="s">
        <v>23</v>
      </c>
      <c r="R159" s="160"/>
      <c r="S159" s="160"/>
      <c r="T159" s="160"/>
      <c r="U159" s="160"/>
      <c r="V159" s="160"/>
      <c r="W159" s="160"/>
      <c r="X159" s="160"/>
      <c r="Y159" s="160"/>
      <c r="Z159" s="160"/>
      <c r="AA159" s="160"/>
      <c r="AB159" s="160"/>
      <c r="AC159" s="160"/>
      <c r="AD159" s="164"/>
      <c r="AE159" s="164"/>
      <c r="AF159" s="164"/>
      <c r="AG159" s="164"/>
      <c r="AH159" s="164"/>
      <c r="AI159" s="164"/>
      <c r="AJ159" s="164"/>
      <c r="AK159" s="164"/>
      <c r="AL159" s="164"/>
      <c r="AM159" s="164"/>
      <c r="AN159" s="164"/>
      <c r="AO159" s="164"/>
      <c r="AP159" s="1"/>
      <c r="AQ159" s="1"/>
      <c r="AR159" s="1"/>
      <c r="AS159" s="1"/>
      <c r="AT159" s="1"/>
      <c r="AU159" s="1"/>
      <c r="AV159" s="1"/>
      <c r="AW159" s="1"/>
      <c r="AX159" s="1"/>
      <c r="AY159" s="1"/>
      <c r="AZ159" s="1"/>
      <c r="BA159" s="1"/>
      <c r="BB159" s="390"/>
      <c r="BC159" s="391"/>
      <c r="BD159" s="392"/>
      <c r="BF159" s="6" t="s">
        <v>586</v>
      </c>
      <c r="BH159" s="5" t="s">
        <v>55</v>
      </c>
    </row>
    <row r="160" spans="1:61" s="5" customFormat="1" ht="30">
      <c r="A160" s="381" t="s">
        <v>587</v>
      </c>
      <c r="B160" s="382" t="s">
        <v>14</v>
      </c>
      <c r="C160" s="382" t="s">
        <v>50</v>
      </c>
      <c r="D160" s="395" t="s">
        <v>51</v>
      </c>
      <c r="E160" s="388" t="s">
        <v>588</v>
      </c>
      <c r="F160" s="385">
        <v>43252</v>
      </c>
      <c r="G160" s="382" t="s">
        <v>53</v>
      </c>
      <c r="H160" s="382" t="s">
        <v>26</v>
      </c>
      <c r="I160" s="382">
        <v>7</v>
      </c>
      <c r="J160" s="382">
        <v>196</v>
      </c>
      <c r="K160" s="382">
        <f t="shared" si="1"/>
        <v>1372</v>
      </c>
      <c r="L160" s="382"/>
      <c r="M160" s="382"/>
      <c r="N160" s="396" t="s">
        <v>20</v>
      </c>
      <c r="O160" s="384" t="s">
        <v>79</v>
      </c>
      <c r="P160" s="388" t="s">
        <v>48</v>
      </c>
      <c r="Q160" s="396" t="s">
        <v>353</v>
      </c>
      <c r="R160" s="160"/>
      <c r="S160" s="160"/>
      <c r="T160" s="160"/>
      <c r="U160" s="160"/>
      <c r="V160" s="160"/>
      <c r="W160" s="160"/>
      <c r="X160" s="160"/>
      <c r="Y160" s="160"/>
      <c r="Z160" s="160"/>
      <c r="AA160" s="160"/>
      <c r="AB160" s="160"/>
      <c r="AC160" s="160"/>
      <c r="AD160" s="164"/>
      <c r="AE160" s="164"/>
      <c r="AF160" s="164"/>
      <c r="AG160" s="164"/>
      <c r="AH160" s="164"/>
      <c r="AI160" s="164"/>
      <c r="AJ160" s="164"/>
      <c r="AK160" s="164"/>
      <c r="AL160" s="164"/>
      <c r="AM160" s="164"/>
      <c r="AN160" s="164"/>
      <c r="AO160" s="164"/>
      <c r="AP160" s="1"/>
      <c r="AQ160" s="1"/>
      <c r="AR160" s="1"/>
      <c r="AS160" s="1"/>
      <c r="AT160" s="1"/>
      <c r="AU160" s="1"/>
      <c r="AV160" s="1"/>
      <c r="AW160" s="1"/>
      <c r="AX160" s="1"/>
      <c r="AY160" s="1"/>
      <c r="AZ160" s="1"/>
      <c r="BA160" s="1"/>
      <c r="BB160" s="390"/>
      <c r="BC160" s="391"/>
      <c r="BD160" s="392"/>
      <c r="BE160" s="34"/>
      <c r="BF160" s="6" t="s">
        <v>589</v>
      </c>
      <c r="BG160" s="168">
        <v>2006</v>
      </c>
      <c r="BH160" s="35"/>
    </row>
    <row r="161" spans="1:61" s="5" customFormat="1">
      <c r="A161" s="381" t="s">
        <v>590</v>
      </c>
      <c r="B161" s="382" t="s">
        <v>14</v>
      </c>
      <c r="C161" s="382" t="s">
        <v>15</v>
      </c>
      <c r="D161" s="395" t="s">
        <v>16</v>
      </c>
      <c r="E161" s="388" t="s">
        <v>17</v>
      </c>
      <c r="F161" s="385">
        <v>1309200</v>
      </c>
      <c r="G161" s="382" t="s">
        <v>18</v>
      </c>
      <c r="H161" s="382" t="s">
        <v>26</v>
      </c>
      <c r="I161" s="382">
        <v>6</v>
      </c>
      <c r="J161" s="382">
        <v>160</v>
      </c>
      <c r="K161" s="382">
        <f t="shared" si="1"/>
        <v>960</v>
      </c>
      <c r="L161" s="382"/>
      <c r="M161" s="382"/>
      <c r="N161" s="396" t="s">
        <v>20</v>
      </c>
      <c r="O161" s="384" t="s">
        <v>36</v>
      </c>
      <c r="P161" s="388" t="s">
        <v>27</v>
      </c>
      <c r="Q161" s="396" t="s">
        <v>353</v>
      </c>
      <c r="R161" s="193"/>
      <c r="S161" s="193"/>
      <c r="T161" s="193"/>
      <c r="U161" s="193"/>
      <c r="V161" s="193"/>
      <c r="W161" s="193"/>
      <c r="X161" s="193"/>
      <c r="Y161" s="193"/>
      <c r="Z161" s="193"/>
      <c r="AA161" s="193"/>
      <c r="AB161" s="193"/>
      <c r="AC161" s="193"/>
      <c r="AD161" s="197"/>
      <c r="AE161" s="197"/>
      <c r="AF161" s="197"/>
      <c r="AG161" s="197"/>
      <c r="AH161" s="197"/>
      <c r="AI161" s="197"/>
      <c r="AJ161" s="197"/>
      <c r="AK161" s="197"/>
      <c r="AL161" s="197"/>
      <c r="AM161" s="197"/>
      <c r="AN161" s="197"/>
      <c r="AO161" s="197"/>
      <c r="AP161" s="14"/>
      <c r="AQ161" s="14"/>
      <c r="AR161" s="14"/>
      <c r="AS161" s="14"/>
      <c r="AT161" s="14"/>
      <c r="AU161" s="14"/>
      <c r="AV161" s="14"/>
      <c r="AW161" s="14"/>
      <c r="AX161" s="14"/>
      <c r="AY161" s="14"/>
      <c r="AZ161" s="14"/>
      <c r="BA161" s="14"/>
      <c r="BB161" s="397"/>
      <c r="BC161" s="398"/>
      <c r="BD161" s="399"/>
      <c r="BE161" s="40"/>
      <c r="BF161" s="19" t="s">
        <v>121</v>
      </c>
      <c r="BG161" s="203">
        <v>2007</v>
      </c>
      <c r="BH161" s="41" t="s">
        <v>591</v>
      </c>
      <c r="BI161" s="16"/>
    </row>
    <row r="162" spans="1:61" s="16" customFormat="1">
      <c r="A162" s="381" t="s">
        <v>592</v>
      </c>
      <c r="B162" s="382" t="s">
        <v>14</v>
      </c>
      <c r="C162" s="382" t="s">
        <v>15</v>
      </c>
      <c r="D162" s="395" t="s">
        <v>16</v>
      </c>
      <c r="E162" s="388" t="s">
        <v>29</v>
      </c>
      <c r="F162" s="385">
        <v>1230100</v>
      </c>
      <c r="G162" s="382" t="s">
        <v>18</v>
      </c>
      <c r="H162" s="382" t="s">
        <v>26</v>
      </c>
      <c r="I162" s="382">
        <v>6</v>
      </c>
      <c r="J162" s="382">
        <v>160</v>
      </c>
      <c r="K162" s="382">
        <f t="shared" si="1"/>
        <v>960</v>
      </c>
      <c r="L162" s="382"/>
      <c r="M162" s="382"/>
      <c r="N162" s="396" t="s">
        <v>20</v>
      </c>
      <c r="O162" s="384" t="s">
        <v>36</v>
      </c>
      <c r="P162" s="388" t="s">
        <v>27</v>
      </c>
      <c r="Q162" s="396" t="s">
        <v>353</v>
      </c>
      <c r="R162" s="193"/>
      <c r="S162" s="193"/>
      <c r="T162" s="193"/>
      <c r="U162" s="193"/>
      <c r="V162" s="193"/>
      <c r="W162" s="193"/>
      <c r="X162" s="193"/>
      <c r="Y162" s="193"/>
      <c r="Z162" s="193"/>
      <c r="AA162" s="193"/>
      <c r="AB162" s="193"/>
      <c r="AC162" s="193"/>
      <c r="AD162" s="197"/>
      <c r="AE162" s="197"/>
      <c r="AF162" s="197"/>
      <c r="AG162" s="197"/>
      <c r="AH162" s="197"/>
      <c r="AI162" s="197"/>
      <c r="AJ162" s="197"/>
      <c r="AK162" s="197"/>
      <c r="AL162" s="197"/>
      <c r="AM162" s="197"/>
      <c r="AN162" s="197"/>
      <c r="AO162" s="197"/>
      <c r="AP162" s="14"/>
      <c r="AQ162" s="14"/>
      <c r="AR162" s="14"/>
      <c r="AS162" s="14"/>
      <c r="AT162" s="14"/>
      <c r="AU162" s="14"/>
      <c r="AV162" s="14"/>
      <c r="AW162" s="14"/>
      <c r="AX162" s="14"/>
      <c r="AY162" s="14"/>
      <c r="AZ162" s="14"/>
      <c r="BA162" s="14"/>
      <c r="BB162" s="397"/>
      <c r="BC162" s="398"/>
      <c r="BD162" s="399"/>
      <c r="BE162" s="40"/>
      <c r="BF162" s="19" t="s">
        <v>121</v>
      </c>
      <c r="BG162" s="203">
        <v>2007</v>
      </c>
      <c r="BH162" s="41" t="s">
        <v>591</v>
      </c>
    </row>
    <row r="163" spans="1:61" s="5" customFormat="1">
      <c r="A163" s="381" t="s">
        <v>593</v>
      </c>
      <c r="B163" s="382" t="s">
        <v>14</v>
      </c>
      <c r="C163" s="382" t="s">
        <v>118</v>
      </c>
      <c r="D163" s="395" t="s">
        <v>119</v>
      </c>
      <c r="E163" s="388" t="s">
        <v>153</v>
      </c>
      <c r="F163" s="385">
        <v>1273300</v>
      </c>
      <c r="G163" s="382" t="s">
        <v>18</v>
      </c>
      <c r="H163" s="382" t="s">
        <v>26</v>
      </c>
      <c r="I163" s="382">
        <v>6</v>
      </c>
      <c r="J163" s="382">
        <v>160</v>
      </c>
      <c r="K163" s="382">
        <f t="shared" si="1"/>
        <v>960</v>
      </c>
      <c r="L163" s="382"/>
      <c r="M163" s="382"/>
      <c r="N163" s="396" t="s">
        <v>20</v>
      </c>
      <c r="O163" s="384" t="s">
        <v>36</v>
      </c>
      <c r="P163" s="388" t="s">
        <v>27</v>
      </c>
      <c r="Q163" s="396" t="s">
        <v>28</v>
      </c>
      <c r="R163" s="193"/>
      <c r="S163" s="193"/>
      <c r="T163" s="193"/>
      <c r="U163" s="193"/>
      <c r="V163" s="193"/>
      <c r="W163" s="193"/>
      <c r="X163" s="193"/>
      <c r="Y163" s="193"/>
      <c r="Z163" s="193"/>
      <c r="AA163" s="193"/>
      <c r="AB163" s="193"/>
      <c r="AC163" s="193"/>
      <c r="AD163" s="197"/>
      <c r="AE163" s="197"/>
      <c r="AF163" s="197"/>
      <c r="AG163" s="197"/>
      <c r="AH163" s="197"/>
      <c r="AI163" s="197"/>
      <c r="AJ163" s="197"/>
      <c r="AK163" s="197"/>
      <c r="AL163" s="197"/>
      <c r="AM163" s="197"/>
      <c r="AN163" s="197"/>
      <c r="AO163" s="197"/>
      <c r="AP163" s="14"/>
      <c r="AQ163" s="14"/>
      <c r="AR163" s="14"/>
      <c r="AS163" s="14"/>
      <c r="AT163" s="14"/>
      <c r="AU163" s="14"/>
      <c r="AV163" s="14"/>
      <c r="AW163" s="14"/>
      <c r="AX163" s="14"/>
      <c r="AY163" s="14"/>
      <c r="AZ163" s="14"/>
      <c r="BA163" s="14"/>
      <c r="BB163" s="397"/>
      <c r="BC163" s="398"/>
      <c r="BD163" s="399"/>
      <c r="BE163" s="40"/>
      <c r="BF163" s="19"/>
      <c r="BG163" s="203">
        <v>2006</v>
      </c>
      <c r="BH163" s="41" t="s">
        <v>591</v>
      </c>
      <c r="BI163" s="16"/>
    </row>
    <row r="164" spans="1:61" s="5" customFormat="1">
      <c r="A164" s="393" t="s">
        <v>594</v>
      </c>
      <c r="B164" s="382" t="s">
        <v>14</v>
      </c>
      <c r="C164" s="382" t="s">
        <v>118</v>
      </c>
      <c r="D164" s="395" t="s">
        <v>119</v>
      </c>
      <c r="E164" s="388" t="s">
        <v>179</v>
      </c>
      <c r="F164" s="385">
        <v>5941500</v>
      </c>
      <c r="G164" s="382" t="s">
        <v>18</v>
      </c>
      <c r="H164" s="382" t="s">
        <v>26</v>
      </c>
      <c r="I164" s="382">
        <v>5</v>
      </c>
      <c r="J164" s="394"/>
      <c r="K164" s="382">
        <f t="shared" si="1"/>
        <v>0</v>
      </c>
      <c r="L164" s="382"/>
      <c r="M164" s="382"/>
      <c r="N164" s="396" t="s">
        <v>35</v>
      </c>
      <c r="O164" s="384" t="s">
        <v>36</v>
      </c>
      <c r="P164" s="388" t="s">
        <v>98</v>
      </c>
      <c r="Q164" s="396" t="s">
        <v>353</v>
      </c>
      <c r="R164" s="160"/>
      <c r="S164" s="160"/>
      <c r="T164" s="160"/>
      <c r="U164" s="160"/>
      <c r="V164" s="160"/>
      <c r="W164" s="160"/>
      <c r="X164" s="160"/>
      <c r="Y164" s="160"/>
      <c r="Z164" s="160"/>
      <c r="AA164" s="160"/>
      <c r="AB164" s="160"/>
      <c r="AC164" s="160"/>
      <c r="AD164" s="164"/>
      <c r="AE164" s="164"/>
      <c r="AF164" s="164"/>
      <c r="AG164" s="164"/>
      <c r="AH164" s="164"/>
      <c r="AI164" s="164"/>
      <c r="AJ164" s="164"/>
      <c r="AK164" s="164"/>
      <c r="AL164" s="164"/>
      <c r="AM164" s="164"/>
      <c r="AN164" s="164"/>
      <c r="AO164" s="164"/>
      <c r="AP164" s="1"/>
      <c r="AQ164" s="1"/>
      <c r="AR164" s="1"/>
      <c r="AS164" s="1"/>
      <c r="AT164" s="1"/>
      <c r="AU164" s="1"/>
      <c r="AV164" s="1"/>
      <c r="AW164" s="1"/>
      <c r="AX164" s="1"/>
      <c r="AY164" s="1"/>
      <c r="AZ164" s="1"/>
      <c r="BA164" s="1"/>
      <c r="BB164" s="390"/>
      <c r="BC164" s="391"/>
      <c r="BD164" s="392"/>
      <c r="BE164" s="34"/>
      <c r="BF164" s="6" t="s">
        <v>595</v>
      </c>
      <c r="BG164" s="1">
        <v>2009</v>
      </c>
      <c r="BH164" s="42" t="s">
        <v>596</v>
      </c>
    </row>
    <row r="165" spans="1:61" s="5" customFormat="1" ht="30">
      <c r="A165" s="381" t="s">
        <v>597</v>
      </c>
      <c r="B165" s="382" t="s">
        <v>14</v>
      </c>
      <c r="C165" s="382" t="s">
        <v>50</v>
      </c>
      <c r="D165" s="395" t="s">
        <v>51</v>
      </c>
      <c r="E165" s="388" t="s">
        <v>598</v>
      </c>
      <c r="F165" s="385">
        <v>36096</v>
      </c>
      <c r="G165" s="382" t="s">
        <v>53</v>
      </c>
      <c r="H165" s="382" t="s">
        <v>26</v>
      </c>
      <c r="I165" s="382">
        <v>7</v>
      </c>
      <c r="J165" s="382">
        <v>196</v>
      </c>
      <c r="K165" s="382">
        <f>I165*J165</f>
        <v>1372</v>
      </c>
      <c r="L165" s="382"/>
      <c r="M165" s="382"/>
      <c r="N165" s="396" t="s">
        <v>20</v>
      </c>
      <c r="O165" s="384" t="s">
        <v>79</v>
      </c>
      <c r="P165" s="388" t="s">
        <v>48</v>
      </c>
      <c r="Q165" s="396" t="s">
        <v>353</v>
      </c>
      <c r="R165" s="160"/>
      <c r="S165" s="160"/>
      <c r="T165" s="160"/>
      <c r="U165" s="160"/>
      <c r="V165" s="160"/>
      <c r="W165" s="160"/>
      <c r="X165" s="160"/>
      <c r="Y165" s="160"/>
      <c r="Z165" s="160"/>
      <c r="AA165" s="160"/>
      <c r="AB165" s="160"/>
      <c r="AC165" s="160"/>
      <c r="AD165" s="164"/>
      <c r="AE165" s="164"/>
      <c r="AF165" s="164"/>
      <c r="AG165" s="164"/>
      <c r="AH165" s="164"/>
      <c r="AI165" s="164"/>
      <c r="AJ165" s="164"/>
      <c r="AK165" s="164"/>
      <c r="AL165" s="164"/>
      <c r="AM165" s="164"/>
      <c r="AN165" s="164"/>
      <c r="AO165" s="164"/>
      <c r="AP165" s="1"/>
      <c r="AQ165" s="1"/>
      <c r="AR165" s="1"/>
      <c r="AS165" s="1"/>
      <c r="AT165" s="1"/>
      <c r="AU165" s="1"/>
      <c r="AV165" s="400"/>
      <c r="AW165" s="400"/>
      <c r="AX165" s="400"/>
      <c r="AY165" s="1"/>
      <c r="AZ165" s="1"/>
      <c r="BA165" s="1"/>
      <c r="BB165" s="390"/>
      <c r="BC165" s="391"/>
      <c r="BD165" s="401"/>
      <c r="BE165" s="34"/>
      <c r="BF165" s="6" t="s">
        <v>599</v>
      </c>
      <c r="BG165" s="215">
        <v>2006</v>
      </c>
      <c r="BH165" s="35" t="s">
        <v>600</v>
      </c>
    </row>
    <row r="166" spans="1:61" s="5" customFormat="1">
      <c r="A166" s="381" t="s">
        <v>601</v>
      </c>
      <c r="B166" s="382" t="s">
        <v>14</v>
      </c>
      <c r="C166" s="382" t="s">
        <v>50</v>
      </c>
      <c r="D166" s="395" t="s">
        <v>51</v>
      </c>
      <c r="E166" s="388" t="s">
        <v>602</v>
      </c>
      <c r="F166" s="385">
        <v>262499</v>
      </c>
      <c r="G166" s="382" t="s">
        <v>41</v>
      </c>
      <c r="H166" s="382" t="s">
        <v>26</v>
      </c>
      <c r="I166" s="382">
        <v>7</v>
      </c>
      <c r="J166" s="382">
        <v>196</v>
      </c>
      <c r="K166" s="382">
        <f>I166*J166</f>
        <v>1372</v>
      </c>
      <c r="L166" s="382"/>
      <c r="M166" s="382"/>
      <c r="N166" s="396" t="s">
        <v>20</v>
      </c>
      <c r="O166" s="384" t="s">
        <v>79</v>
      </c>
      <c r="P166" s="388" t="s">
        <v>48</v>
      </c>
      <c r="Q166" s="396" t="s">
        <v>353</v>
      </c>
      <c r="R166" s="160"/>
      <c r="S166" s="160"/>
      <c r="T166" s="160"/>
      <c r="U166" s="160"/>
      <c r="V166" s="160"/>
      <c r="W166" s="160"/>
      <c r="X166" s="160"/>
      <c r="Y166" s="160"/>
      <c r="Z166" s="160"/>
      <c r="AA166" s="160"/>
      <c r="AB166" s="160"/>
      <c r="AC166" s="160"/>
      <c r="AD166" s="164"/>
      <c r="AE166" s="164"/>
      <c r="AF166" s="164"/>
      <c r="AG166" s="164"/>
      <c r="AH166" s="164"/>
      <c r="AI166" s="164"/>
      <c r="AJ166" s="164"/>
      <c r="AK166" s="164"/>
      <c r="AL166" s="164"/>
      <c r="AM166" s="164"/>
      <c r="AN166" s="164"/>
      <c r="AO166" s="164"/>
      <c r="AP166" s="1"/>
      <c r="AQ166" s="1"/>
      <c r="AR166" s="1"/>
      <c r="AS166" s="1"/>
      <c r="AT166" s="1"/>
      <c r="AU166" s="1"/>
      <c r="AV166" s="400"/>
      <c r="AW166" s="400"/>
      <c r="AX166" s="400"/>
      <c r="AY166" s="1"/>
      <c r="AZ166" s="1"/>
      <c r="BA166" s="1"/>
      <c r="BB166" s="390"/>
      <c r="BC166" s="391"/>
      <c r="BD166" s="401"/>
      <c r="BE166" s="34"/>
      <c r="BF166" s="6" t="s">
        <v>603</v>
      </c>
      <c r="BG166" s="215">
        <v>2006</v>
      </c>
      <c r="BH166" s="35" t="s">
        <v>604</v>
      </c>
    </row>
    <row r="167" spans="1:61" s="5" customFormat="1">
      <c r="A167" s="381" t="s">
        <v>605</v>
      </c>
      <c r="B167" s="382" t="s">
        <v>14</v>
      </c>
      <c r="C167" s="382" t="s">
        <v>50</v>
      </c>
      <c r="D167" s="395" t="s">
        <v>51</v>
      </c>
      <c r="E167" s="388" t="s">
        <v>606</v>
      </c>
      <c r="F167" s="385">
        <v>101133</v>
      </c>
      <c r="G167" s="382" t="s">
        <v>41</v>
      </c>
      <c r="H167" s="382" t="s">
        <v>26</v>
      </c>
      <c r="I167" s="382">
        <v>7</v>
      </c>
      <c r="J167" s="382">
        <v>196</v>
      </c>
      <c r="K167" s="382">
        <f>I167*J167</f>
        <v>1372</v>
      </c>
      <c r="L167" s="382"/>
      <c r="M167" s="382"/>
      <c r="N167" s="396" t="s">
        <v>20</v>
      </c>
      <c r="O167" s="384" t="s">
        <v>79</v>
      </c>
      <c r="P167" s="388" t="s">
        <v>48</v>
      </c>
      <c r="Q167" s="396" t="s">
        <v>353</v>
      </c>
      <c r="R167" s="160"/>
      <c r="S167" s="160"/>
      <c r="T167" s="160"/>
      <c r="U167" s="160"/>
      <c r="V167" s="160"/>
      <c r="W167" s="160"/>
      <c r="X167" s="160"/>
      <c r="Y167" s="160"/>
      <c r="Z167" s="160"/>
      <c r="AA167" s="160"/>
      <c r="AB167" s="160"/>
      <c r="AC167" s="160"/>
      <c r="AD167" s="164"/>
      <c r="AE167" s="164"/>
      <c r="AF167" s="164"/>
      <c r="AG167" s="164"/>
      <c r="AH167" s="164"/>
      <c r="AI167" s="164"/>
      <c r="AJ167" s="164"/>
      <c r="AK167" s="164"/>
      <c r="AL167" s="164"/>
      <c r="AM167" s="164"/>
      <c r="AN167" s="164"/>
      <c r="AO167" s="164"/>
      <c r="AP167" s="1"/>
      <c r="AQ167" s="1"/>
      <c r="AR167" s="1"/>
      <c r="AS167" s="1"/>
      <c r="AT167" s="1"/>
      <c r="AU167" s="1"/>
      <c r="AV167" s="400"/>
      <c r="AW167" s="400"/>
      <c r="AX167" s="400"/>
      <c r="AY167" s="1"/>
      <c r="AZ167" s="1"/>
      <c r="BA167" s="1"/>
      <c r="BB167" s="390"/>
      <c r="BC167" s="391"/>
      <c r="BD167" s="401"/>
      <c r="BE167" s="34"/>
      <c r="BF167" s="6" t="s">
        <v>222</v>
      </c>
      <c r="BG167" s="215">
        <v>2006</v>
      </c>
      <c r="BH167" s="42"/>
    </row>
    <row r="168" spans="1:61" s="5" customFormat="1">
      <c r="A168" s="381" t="s">
        <v>607</v>
      </c>
      <c r="B168" s="382" t="s">
        <v>14</v>
      </c>
      <c r="C168" s="382" t="s">
        <v>50</v>
      </c>
      <c r="D168" s="395" t="s">
        <v>51</v>
      </c>
      <c r="E168" s="388" t="s">
        <v>84</v>
      </c>
      <c r="F168" s="385">
        <v>363100</v>
      </c>
      <c r="G168" s="382" t="s">
        <v>41</v>
      </c>
      <c r="H168" s="382" t="s">
        <v>26</v>
      </c>
      <c r="I168" s="382">
        <v>7</v>
      </c>
      <c r="J168" s="382">
        <v>196</v>
      </c>
      <c r="K168" s="382">
        <f>I168*J168</f>
        <v>1372</v>
      </c>
      <c r="L168" s="382"/>
      <c r="M168" s="382"/>
      <c r="N168" s="396" t="s">
        <v>20</v>
      </c>
      <c r="O168" s="384" t="s">
        <v>79</v>
      </c>
      <c r="P168" s="388" t="s">
        <v>48</v>
      </c>
      <c r="Q168" s="396" t="s">
        <v>353</v>
      </c>
      <c r="R168" s="160"/>
      <c r="S168" s="160"/>
      <c r="T168" s="160"/>
      <c r="U168" s="160"/>
      <c r="V168" s="160"/>
      <c r="W168" s="160"/>
      <c r="X168" s="160"/>
      <c r="Y168" s="160"/>
      <c r="Z168" s="160"/>
      <c r="AA168" s="160"/>
      <c r="AB168" s="160"/>
      <c r="AC168" s="160"/>
      <c r="AD168" s="164"/>
      <c r="AE168" s="164"/>
      <c r="AF168" s="164"/>
      <c r="AG168" s="164"/>
      <c r="AH168" s="164"/>
      <c r="AI168" s="164"/>
      <c r="AJ168" s="164"/>
      <c r="AK168" s="164"/>
      <c r="AL168" s="164"/>
      <c r="AM168" s="164"/>
      <c r="AN168" s="164"/>
      <c r="AO168" s="164"/>
      <c r="AP168" s="1"/>
      <c r="AQ168" s="1"/>
      <c r="AR168" s="1"/>
      <c r="AS168" s="1"/>
      <c r="AT168" s="1"/>
      <c r="AU168" s="1"/>
      <c r="AV168" s="400"/>
      <c r="AW168" s="400"/>
      <c r="AX168" s="400"/>
      <c r="AY168" s="1"/>
      <c r="AZ168" s="1"/>
      <c r="BA168" s="1"/>
      <c r="BB168" s="390"/>
      <c r="BC168" s="391"/>
      <c r="BD168" s="401"/>
      <c r="BE168" s="34"/>
      <c r="BF168" s="6" t="s">
        <v>603</v>
      </c>
      <c r="BG168" s="215">
        <v>2006</v>
      </c>
      <c r="BH168" s="35" t="s">
        <v>608</v>
      </c>
    </row>
    <row r="169" spans="1:61" s="51" customFormat="1">
      <c r="A169" s="50"/>
      <c r="D169" s="52"/>
      <c r="E169" s="53"/>
      <c r="F169" s="300"/>
      <c r="G169" s="54"/>
      <c r="I169" s="55"/>
      <c r="O169" s="56"/>
      <c r="P169" s="56"/>
      <c r="R169" s="301"/>
      <c r="S169" s="301"/>
      <c r="T169" s="301"/>
      <c r="U169" s="301"/>
      <c r="V169" s="301"/>
      <c r="W169" s="301"/>
      <c r="X169" s="301"/>
      <c r="Y169" s="301"/>
      <c r="Z169" s="301"/>
      <c r="AA169" s="301"/>
      <c r="AB169" s="301"/>
      <c r="AC169" s="301"/>
      <c r="AD169" s="302"/>
      <c r="AE169" s="302"/>
      <c r="AF169" s="302"/>
      <c r="AG169" s="302"/>
      <c r="AH169" s="302"/>
      <c r="AI169" s="302"/>
      <c r="AJ169" s="302"/>
      <c r="AK169" s="302"/>
      <c r="AL169" s="302"/>
      <c r="AM169" s="302"/>
      <c r="AN169" s="302"/>
      <c r="AO169" s="302"/>
      <c r="BB169" s="57"/>
      <c r="BC169" s="57"/>
      <c r="BD169" s="57"/>
      <c r="BE169" s="58"/>
      <c r="BF169" s="58"/>
      <c r="BG169" s="58"/>
      <c r="BH169" s="58"/>
    </row>
    <row r="170" spans="1:61" s="51" customFormat="1">
      <c r="A170" s="50"/>
      <c r="D170" s="52"/>
      <c r="E170" s="53"/>
      <c r="F170" s="300"/>
      <c r="G170" s="54"/>
      <c r="I170" s="55"/>
      <c r="M170" s="51">
        <f>COUNTIF(M4:M115,"Free")</f>
        <v>19</v>
      </c>
      <c r="O170" s="56"/>
      <c r="P170" s="56"/>
      <c r="R170" s="301"/>
      <c r="S170" s="301"/>
      <c r="T170" s="301"/>
      <c r="U170" s="301"/>
      <c r="V170" s="301"/>
      <c r="W170" s="301"/>
      <c r="X170" s="301"/>
      <c r="Y170" s="301"/>
      <c r="Z170" s="301"/>
      <c r="AA170" s="301"/>
      <c r="AB170" s="301"/>
      <c r="AC170" s="301"/>
      <c r="AD170" s="302"/>
      <c r="AE170" s="302"/>
      <c r="AF170" s="302"/>
      <c r="AG170" s="302"/>
      <c r="AH170" s="302"/>
      <c r="AI170" s="302"/>
      <c r="AJ170" s="302"/>
      <c r="AK170" s="302"/>
      <c r="AL170" s="302"/>
      <c r="AM170" s="302"/>
      <c r="AN170" s="302"/>
      <c r="AO170" s="302"/>
      <c r="BB170" s="57"/>
      <c r="BC170" s="57"/>
      <c r="BD170" s="57"/>
      <c r="BE170" s="58"/>
      <c r="BF170" s="58"/>
      <c r="BG170" s="58"/>
      <c r="BH170" s="58"/>
    </row>
    <row r="171" spans="1:61" s="51" customFormat="1">
      <c r="A171" s="50"/>
      <c r="D171" s="52"/>
      <c r="E171" s="53"/>
      <c r="F171" s="300"/>
      <c r="G171" s="54"/>
      <c r="I171" s="55"/>
      <c r="M171" s="51">
        <f>COUNTIF(M4:M115,"Paid")</f>
        <v>93</v>
      </c>
      <c r="O171" s="56"/>
      <c r="P171" s="56"/>
      <c r="R171" s="301"/>
      <c r="S171" s="301"/>
      <c r="T171" s="301"/>
      <c r="U171" s="301"/>
      <c r="V171" s="301"/>
      <c r="W171" s="301"/>
      <c r="X171" s="301"/>
      <c r="Y171" s="301"/>
      <c r="Z171" s="301"/>
      <c r="AA171" s="301"/>
      <c r="AB171" s="301"/>
      <c r="AC171" s="301"/>
      <c r="AD171" s="302"/>
      <c r="AE171" s="302"/>
      <c r="AF171" s="302"/>
      <c r="AG171" s="302"/>
      <c r="AH171" s="302"/>
      <c r="AI171" s="302"/>
      <c r="AJ171" s="302"/>
      <c r="AK171" s="302"/>
      <c r="AL171" s="302"/>
      <c r="AM171" s="302"/>
      <c r="AN171" s="302"/>
      <c r="AO171" s="302"/>
      <c r="BB171" s="57"/>
      <c r="BC171" s="57"/>
      <c r="BD171" s="57"/>
      <c r="BE171" s="58"/>
      <c r="BF171" s="58"/>
      <c r="BG171" s="58"/>
      <c r="BH171" s="58"/>
    </row>
    <row r="172" spans="1:61" s="51" customFormat="1">
      <c r="A172" s="50"/>
      <c r="D172" s="52"/>
      <c r="E172" s="53"/>
      <c r="F172" s="300"/>
      <c r="G172" s="54"/>
      <c r="I172" s="55"/>
      <c r="O172" s="56"/>
      <c r="P172" s="56"/>
      <c r="R172" s="301"/>
      <c r="S172" s="301"/>
      <c r="T172" s="301"/>
      <c r="U172" s="301"/>
      <c r="V172" s="301"/>
      <c r="W172" s="301"/>
      <c r="X172" s="301"/>
      <c r="Y172" s="301"/>
      <c r="Z172" s="301"/>
      <c r="AA172" s="301"/>
      <c r="AB172" s="301"/>
      <c r="AC172" s="301"/>
      <c r="AD172" s="302"/>
      <c r="AE172" s="302"/>
      <c r="AF172" s="302"/>
      <c r="AG172" s="302"/>
      <c r="AH172" s="302"/>
      <c r="AI172" s="302"/>
      <c r="AJ172" s="302"/>
      <c r="AK172" s="302"/>
      <c r="AL172" s="302"/>
      <c r="AM172" s="302"/>
      <c r="AN172" s="302"/>
      <c r="AO172" s="302"/>
      <c r="BB172" s="57"/>
      <c r="BC172" s="57"/>
      <c r="BD172" s="57"/>
      <c r="BE172" s="58"/>
      <c r="BF172" s="58"/>
      <c r="BG172" s="58"/>
      <c r="BH172" s="58"/>
    </row>
    <row r="173" spans="1:61" s="51" customFormat="1">
      <c r="A173" s="50"/>
      <c r="D173" s="52"/>
      <c r="E173" s="53"/>
      <c r="F173" s="300"/>
      <c r="G173" s="54"/>
      <c r="I173" s="55"/>
      <c r="O173" s="56"/>
      <c r="P173" s="56"/>
      <c r="R173" s="301"/>
      <c r="S173" s="301"/>
      <c r="T173" s="301"/>
      <c r="U173" s="301"/>
      <c r="V173" s="301"/>
      <c r="W173" s="301"/>
      <c r="X173" s="301"/>
      <c r="Y173" s="301"/>
      <c r="Z173" s="301"/>
      <c r="AA173" s="301"/>
      <c r="AB173" s="301"/>
      <c r="AC173" s="301"/>
      <c r="AD173" s="302"/>
      <c r="AE173" s="302"/>
      <c r="AF173" s="302"/>
      <c r="AG173" s="302"/>
      <c r="AH173" s="302"/>
      <c r="AI173" s="302"/>
      <c r="AJ173" s="302"/>
      <c r="AK173" s="302"/>
      <c r="AL173" s="302"/>
      <c r="AM173" s="302"/>
      <c r="AN173" s="302"/>
      <c r="AO173" s="302"/>
      <c r="BB173" s="57"/>
      <c r="BC173" s="57"/>
      <c r="BD173" s="57"/>
      <c r="BE173" s="58"/>
      <c r="BF173" s="58"/>
      <c r="BG173" s="58"/>
      <c r="BH173" s="58"/>
    </row>
    <row r="174" spans="1:61" s="51" customFormat="1">
      <c r="A174" s="50"/>
      <c r="D174" s="52"/>
      <c r="E174" s="53"/>
      <c r="F174" s="300"/>
      <c r="G174" s="54"/>
      <c r="I174" s="55"/>
      <c r="O174" s="56"/>
      <c r="P174" s="56"/>
      <c r="R174" s="301"/>
      <c r="S174" s="301"/>
      <c r="T174" s="301"/>
      <c r="U174" s="301"/>
      <c r="V174" s="301"/>
      <c r="W174" s="301"/>
      <c r="X174" s="301"/>
      <c r="Y174" s="301"/>
      <c r="Z174" s="301"/>
      <c r="AA174" s="301"/>
      <c r="AB174" s="301"/>
      <c r="AC174" s="301"/>
      <c r="AD174" s="302"/>
      <c r="AE174" s="302"/>
      <c r="AF174" s="302"/>
      <c r="AG174" s="302"/>
      <c r="AH174" s="302"/>
      <c r="AI174" s="302"/>
      <c r="AJ174" s="302"/>
      <c r="AK174" s="302"/>
      <c r="AL174" s="302"/>
      <c r="AM174" s="302"/>
      <c r="AN174" s="302"/>
      <c r="AO174" s="302"/>
      <c r="BB174" s="57"/>
      <c r="BC174" s="57"/>
      <c r="BD174" s="57"/>
      <c r="BE174" s="58"/>
      <c r="BF174" s="58"/>
      <c r="BG174" s="58"/>
      <c r="BH174" s="58"/>
    </row>
    <row r="175" spans="1:61" s="51" customFormat="1">
      <c r="A175" s="50"/>
      <c r="D175" s="52"/>
      <c r="E175" s="53"/>
      <c r="F175" s="300"/>
      <c r="G175" s="54"/>
      <c r="I175" s="55"/>
      <c r="O175" s="56"/>
      <c r="P175" s="56"/>
      <c r="R175" s="301"/>
      <c r="S175" s="301"/>
      <c r="T175" s="301"/>
      <c r="U175" s="301"/>
      <c r="V175" s="301"/>
      <c r="W175" s="301"/>
      <c r="X175" s="301"/>
      <c r="Y175" s="301"/>
      <c r="Z175" s="301"/>
      <c r="AA175" s="301"/>
      <c r="AB175" s="301"/>
      <c r="AC175" s="301"/>
      <c r="AD175" s="302"/>
      <c r="AE175" s="302"/>
      <c r="AF175" s="302"/>
      <c r="AG175" s="302"/>
      <c r="AH175" s="302"/>
      <c r="AI175" s="302"/>
      <c r="AJ175" s="302"/>
      <c r="AK175" s="302"/>
      <c r="AL175" s="302"/>
      <c r="AM175" s="302"/>
      <c r="AN175" s="302"/>
      <c r="AO175" s="302"/>
      <c r="BB175" s="57"/>
      <c r="BC175" s="57"/>
      <c r="BD175" s="57"/>
      <c r="BE175" s="58"/>
      <c r="BF175" s="58"/>
      <c r="BG175" s="58"/>
      <c r="BH175" s="58"/>
    </row>
    <row r="176" spans="1:61" s="51" customFormat="1">
      <c r="A176" s="50"/>
      <c r="D176" s="52"/>
      <c r="E176" s="53"/>
      <c r="F176" s="300"/>
      <c r="G176" s="54"/>
      <c r="I176" s="55"/>
      <c r="O176" s="56"/>
      <c r="P176" s="56"/>
      <c r="R176" s="301"/>
      <c r="S176" s="301"/>
      <c r="T176" s="301"/>
      <c r="U176" s="301"/>
      <c r="V176" s="301"/>
      <c r="W176" s="301"/>
      <c r="X176" s="301"/>
      <c r="Y176" s="301"/>
      <c r="Z176" s="301"/>
      <c r="AA176" s="301"/>
      <c r="AB176" s="301"/>
      <c r="AC176" s="301"/>
      <c r="AD176" s="302"/>
      <c r="AE176" s="302"/>
      <c r="AF176" s="302"/>
      <c r="AG176" s="302"/>
      <c r="AH176" s="302"/>
      <c r="AI176" s="302"/>
      <c r="AJ176" s="302"/>
      <c r="AK176" s="302"/>
      <c r="AL176" s="302"/>
      <c r="AM176" s="302"/>
      <c r="AN176" s="302"/>
      <c r="AO176" s="302"/>
      <c r="BB176" s="57"/>
      <c r="BC176" s="57"/>
      <c r="BD176" s="57"/>
      <c r="BE176" s="58"/>
      <c r="BF176" s="58"/>
      <c r="BG176" s="58"/>
      <c r="BH176" s="58"/>
    </row>
    <row r="177" spans="1:60" s="51" customFormat="1">
      <c r="A177" s="50"/>
      <c r="D177" s="52"/>
      <c r="E177" s="53"/>
      <c r="F177" s="300"/>
      <c r="G177" s="54"/>
      <c r="I177" s="55"/>
      <c r="O177" s="56"/>
      <c r="P177" s="56"/>
      <c r="R177" s="301"/>
      <c r="S177" s="301"/>
      <c r="T177" s="301"/>
      <c r="U177" s="301"/>
      <c r="V177" s="301"/>
      <c r="W177" s="301"/>
      <c r="X177" s="301"/>
      <c r="Y177" s="301"/>
      <c r="Z177" s="301"/>
      <c r="AA177" s="301"/>
      <c r="AB177" s="301"/>
      <c r="AC177" s="301"/>
      <c r="AD177" s="302"/>
      <c r="AE177" s="302"/>
      <c r="AF177" s="302"/>
      <c r="AG177" s="302"/>
      <c r="AH177" s="302"/>
      <c r="AI177" s="302"/>
      <c r="AJ177" s="302"/>
      <c r="AK177" s="302"/>
      <c r="AL177" s="302"/>
      <c r="AM177" s="302"/>
      <c r="AN177" s="302"/>
      <c r="AO177" s="302"/>
      <c r="BB177" s="57"/>
      <c r="BC177" s="57"/>
      <c r="BD177" s="57"/>
      <c r="BE177" s="58"/>
      <c r="BF177" s="58"/>
      <c r="BG177" s="58"/>
      <c r="BH177" s="58"/>
    </row>
    <row r="178" spans="1:60" s="51" customFormat="1">
      <c r="A178" s="50"/>
      <c r="D178" s="52"/>
      <c r="E178" s="53"/>
      <c r="F178" s="300"/>
      <c r="G178" s="54"/>
      <c r="I178" s="55"/>
      <c r="O178" s="56"/>
      <c r="P178" s="56"/>
      <c r="R178" s="301"/>
      <c r="S178" s="301"/>
      <c r="T178" s="301"/>
      <c r="U178" s="301"/>
      <c r="V178" s="301"/>
      <c r="W178" s="301"/>
      <c r="X178" s="301"/>
      <c r="Y178" s="301"/>
      <c r="Z178" s="301"/>
      <c r="AA178" s="301"/>
      <c r="AB178" s="301"/>
      <c r="AC178" s="301"/>
      <c r="AD178" s="302"/>
      <c r="AE178" s="302"/>
      <c r="AF178" s="302"/>
      <c r="AG178" s="302"/>
      <c r="AH178" s="302"/>
      <c r="AI178" s="302"/>
      <c r="AJ178" s="302"/>
      <c r="AK178" s="302"/>
      <c r="AL178" s="302"/>
      <c r="AM178" s="302"/>
      <c r="AN178" s="302"/>
      <c r="AO178" s="302"/>
      <c r="BB178" s="57"/>
      <c r="BC178" s="57"/>
      <c r="BD178" s="57"/>
      <c r="BE178" s="58"/>
      <c r="BF178" s="58"/>
      <c r="BG178" s="58"/>
      <c r="BH178" s="58"/>
    </row>
    <row r="179" spans="1:60" s="51" customFormat="1">
      <c r="A179" s="50"/>
      <c r="D179" s="52"/>
      <c r="E179" s="53"/>
      <c r="F179" s="300"/>
      <c r="G179" s="54"/>
      <c r="I179" s="55"/>
      <c r="O179" s="56"/>
      <c r="P179" s="56"/>
      <c r="R179" s="301"/>
      <c r="S179" s="301"/>
      <c r="T179" s="301"/>
      <c r="U179" s="301"/>
      <c r="V179" s="301"/>
      <c r="W179" s="301"/>
      <c r="X179" s="301"/>
      <c r="Y179" s="301"/>
      <c r="Z179" s="301"/>
      <c r="AA179" s="301"/>
      <c r="AB179" s="301"/>
      <c r="AC179" s="301"/>
      <c r="AD179" s="302"/>
      <c r="AE179" s="302"/>
      <c r="AF179" s="302"/>
      <c r="AG179" s="302"/>
      <c r="AH179" s="302"/>
      <c r="AI179" s="302"/>
      <c r="AJ179" s="302"/>
      <c r="AK179" s="302"/>
      <c r="AL179" s="302"/>
      <c r="AM179" s="302"/>
      <c r="AN179" s="302"/>
      <c r="AO179" s="302"/>
      <c r="BB179" s="57"/>
      <c r="BC179" s="57"/>
      <c r="BD179" s="57"/>
      <c r="BE179" s="58"/>
      <c r="BF179" s="58"/>
      <c r="BG179" s="58"/>
      <c r="BH179" s="58"/>
    </row>
    <row r="180" spans="1:60" s="51" customFormat="1">
      <c r="A180" s="50"/>
      <c r="D180" s="52"/>
      <c r="E180" s="53"/>
      <c r="F180" s="300"/>
      <c r="G180" s="54"/>
      <c r="I180" s="55"/>
      <c r="O180" s="56"/>
      <c r="P180" s="56"/>
      <c r="R180" s="301"/>
      <c r="S180" s="301"/>
      <c r="T180" s="301"/>
      <c r="U180" s="301"/>
      <c r="V180" s="301"/>
      <c r="W180" s="301"/>
      <c r="X180" s="301"/>
      <c r="Y180" s="301"/>
      <c r="Z180" s="301"/>
      <c r="AA180" s="301"/>
      <c r="AB180" s="301"/>
      <c r="AC180" s="301"/>
      <c r="AD180" s="302"/>
      <c r="AE180" s="302"/>
      <c r="AF180" s="302"/>
      <c r="AG180" s="302"/>
      <c r="AH180" s="302"/>
      <c r="AI180" s="302"/>
      <c r="AJ180" s="302"/>
      <c r="AK180" s="302"/>
      <c r="AL180" s="302"/>
      <c r="AM180" s="302"/>
      <c r="AN180" s="302"/>
      <c r="AO180" s="302"/>
      <c r="BB180" s="57"/>
      <c r="BC180" s="57"/>
      <c r="BD180" s="57"/>
      <c r="BE180" s="58"/>
      <c r="BF180" s="58"/>
      <c r="BG180" s="58"/>
      <c r="BH180" s="58"/>
    </row>
    <row r="181" spans="1:60" s="51" customFormat="1">
      <c r="A181" s="50"/>
      <c r="D181" s="52"/>
      <c r="E181" s="53"/>
      <c r="F181" s="300"/>
      <c r="G181" s="54"/>
      <c r="I181" s="55"/>
      <c r="O181" s="56"/>
      <c r="P181" s="56"/>
      <c r="R181" s="301"/>
      <c r="S181" s="301"/>
      <c r="T181" s="301"/>
      <c r="U181" s="301"/>
      <c r="V181" s="301"/>
      <c r="W181" s="301"/>
      <c r="X181" s="301"/>
      <c r="Y181" s="301"/>
      <c r="Z181" s="301"/>
      <c r="AA181" s="301"/>
      <c r="AB181" s="301"/>
      <c r="AC181" s="301"/>
      <c r="AD181" s="302"/>
      <c r="AE181" s="302"/>
      <c r="AF181" s="302"/>
      <c r="AG181" s="302"/>
      <c r="AH181" s="302"/>
      <c r="AI181" s="302"/>
      <c r="AJ181" s="302"/>
      <c r="AK181" s="302"/>
      <c r="AL181" s="302"/>
      <c r="AM181" s="302"/>
      <c r="AN181" s="302"/>
      <c r="AO181" s="302"/>
      <c r="BB181" s="57"/>
      <c r="BC181" s="57"/>
      <c r="BD181" s="57"/>
      <c r="BE181" s="58"/>
      <c r="BF181" s="58"/>
      <c r="BG181" s="58"/>
      <c r="BH181" s="58"/>
    </row>
    <row r="182" spans="1:60" s="51" customFormat="1">
      <c r="A182" s="50"/>
      <c r="D182" s="52"/>
      <c r="E182" s="53"/>
      <c r="F182" s="300"/>
      <c r="G182" s="54"/>
      <c r="I182" s="55"/>
      <c r="O182" s="56"/>
      <c r="P182" s="56"/>
      <c r="R182" s="301"/>
      <c r="S182" s="301"/>
      <c r="T182" s="301"/>
      <c r="U182" s="301"/>
      <c r="V182" s="301"/>
      <c r="W182" s="301"/>
      <c r="X182" s="301"/>
      <c r="Y182" s="301"/>
      <c r="Z182" s="301"/>
      <c r="AA182" s="301"/>
      <c r="AB182" s="301"/>
      <c r="AC182" s="301"/>
      <c r="AD182" s="302"/>
      <c r="AE182" s="302"/>
      <c r="AF182" s="302"/>
      <c r="AG182" s="302"/>
      <c r="AH182" s="302"/>
      <c r="AI182" s="302"/>
      <c r="AJ182" s="302"/>
      <c r="AK182" s="302"/>
      <c r="AL182" s="302"/>
      <c r="AM182" s="302"/>
      <c r="AN182" s="302"/>
      <c r="AO182" s="302"/>
      <c r="BB182" s="57"/>
      <c r="BC182" s="57"/>
      <c r="BD182" s="57"/>
      <c r="BE182" s="58"/>
      <c r="BF182" s="58"/>
      <c r="BG182" s="58"/>
      <c r="BH182" s="58"/>
    </row>
    <row r="183" spans="1:60" s="51" customFormat="1">
      <c r="A183" s="50"/>
      <c r="D183" s="52"/>
      <c r="E183" s="53"/>
      <c r="F183" s="300"/>
      <c r="G183" s="54"/>
      <c r="I183" s="55"/>
      <c r="O183" s="56"/>
      <c r="P183" s="56"/>
      <c r="R183" s="301"/>
      <c r="S183" s="301"/>
      <c r="T183" s="301"/>
      <c r="U183" s="301"/>
      <c r="V183" s="301"/>
      <c r="W183" s="301"/>
      <c r="X183" s="301"/>
      <c r="Y183" s="301"/>
      <c r="Z183" s="301"/>
      <c r="AA183" s="301"/>
      <c r="AB183" s="301"/>
      <c r="AC183" s="301"/>
      <c r="AD183" s="302"/>
      <c r="AE183" s="302"/>
      <c r="AF183" s="302"/>
      <c r="AG183" s="302"/>
      <c r="AH183" s="302"/>
      <c r="AI183" s="302"/>
      <c r="AJ183" s="302"/>
      <c r="AK183" s="302"/>
      <c r="AL183" s="302"/>
      <c r="AM183" s="302"/>
      <c r="AN183" s="302"/>
      <c r="AO183" s="302"/>
      <c r="BB183" s="57"/>
      <c r="BC183" s="57"/>
      <c r="BD183" s="57"/>
      <c r="BE183" s="58"/>
      <c r="BF183" s="58"/>
      <c r="BG183" s="58"/>
      <c r="BH183" s="58"/>
    </row>
    <row r="184" spans="1:60" s="51" customFormat="1">
      <c r="A184" s="50"/>
      <c r="D184" s="52"/>
      <c r="E184" s="53"/>
      <c r="F184" s="300"/>
      <c r="G184" s="54"/>
      <c r="I184" s="55"/>
      <c r="O184" s="56"/>
      <c r="P184" s="56"/>
      <c r="R184" s="301"/>
      <c r="S184" s="301"/>
      <c r="T184" s="301"/>
      <c r="U184" s="301"/>
      <c r="V184" s="301"/>
      <c r="W184" s="301"/>
      <c r="X184" s="301"/>
      <c r="Y184" s="301"/>
      <c r="Z184" s="301"/>
      <c r="AA184" s="301"/>
      <c r="AB184" s="301"/>
      <c r="AC184" s="301"/>
      <c r="AD184" s="302"/>
      <c r="AE184" s="302"/>
      <c r="AF184" s="302"/>
      <c r="AG184" s="302"/>
      <c r="AH184" s="302"/>
      <c r="AI184" s="302"/>
      <c r="AJ184" s="302"/>
      <c r="AK184" s="302"/>
      <c r="AL184" s="302"/>
      <c r="AM184" s="302"/>
      <c r="AN184" s="302"/>
      <c r="AO184" s="302"/>
      <c r="BB184" s="57"/>
      <c r="BC184" s="57"/>
      <c r="BD184" s="57"/>
      <c r="BE184" s="58"/>
      <c r="BF184" s="58"/>
      <c r="BG184" s="58"/>
      <c r="BH184" s="58"/>
    </row>
    <row r="185" spans="1:60" s="51" customFormat="1">
      <c r="A185" s="50"/>
      <c r="D185" s="52"/>
      <c r="E185" s="53"/>
      <c r="F185" s="300"/>
      <c r="G185" s="54"/>
      <c r="I185" s="55"/>
      <c r="O185" s="56"/>
      <c r="P185" s="56"/>
      <c r="R185" s="301"/>
      <c r="S185" s="301"/>
      <c r="T185" s="301"/>
      <c r="U185" s="301"/>
      <c r="V185" s="301"/>
      <c r="W185" s="301"/>
      <c r="X185" s="301"/>
      <c r="Y185" s="301"/>
      <c r="Z185" s="301"/>
      <c r="AA185" s="301"/>
      <c r="AB185" s="301"/>
      <c r="AC185" s="301"/>
      <c r="AD185" s="302"/>
      <c r="AE185" s="302"/>
      <c r="AF185" s="302"/>
      <c r="AG185" s="302"/>
      <c r="AH185" s="302"/>
      <c r="AI185" s="302"/>
      <c r="AJ185" s="302"/>
      <c r="AK185" s="302"/>
      <c r="AL185" s="302"/>
      <c r="AM185" s="302"/>
      <c r="AN185" s="302"/>
      <c r="AO185" s="302"/>
      <c r="BB185" s="57"/>
      <c r="BC185" s="57"/>
      <c r="BD185" s="57"/>
      <c r="BE185" s="58"/>
      <c r="BF185" s="58"/>
      <c r="BG185" s="58"/>
      <c r="BH185" s="58"/>
    </row>
    <row r="186" spans="1:60" s="51" customFormat="1">
      <c r="A186" s="50"/>
      <c r="D186" s="52"/>
      <c r="E186" s="53"/>
      <c r="F186" s="300"/>
      <c r="G186" s="54"/>
      <c r="I186" s="55"/>
      <c r="O186" s="56"/>
      <c r="P186" s="56"/>
      <c r="R186" s="301"/>
      <c r="S186" s="301"/>
      <c r="T186" s="301"/>
      <c r="U186" s="301"/>
      <c r="V186" s="301"/>
      <c r="W186" s="301"/>
      <c r="X186" s="301"/>
      <c r="Y186" s="301"/>
      <c r="Z186" s="301"/>
      <c r="AA186" s="301"/>
      <c r="AB186" s="301"/>
      <c r="AC186" s="301"/>
      <c r="AD186" s="302"/>
      <c r="AE186" s="302"/>
      <c r="AF186" s="302"/>
      <c r="AG186" s="302"/>
      <c r="AH186" s="302"/>
      <c r="AI186" s="302"/>
      <c r="AJ186" s="302"/>
      <c r="AK186" s="302"/>
      <c r="AL186" s="302"/>
      <c r="AM186" s="302"/>
      <c r="AN186" s="302"/>
      <c r="AO186" s="302"/>
      <c r="BB186" s="57"/>
      <c r="BC186" s="57"/>
      <c r="BD186" s="57"/>
      <c r="BE186" s="58"/>
      <c r="BF186" s="58"/>
      <c r="BG186" s="58"/>
      <c r="BH186" s="58"/>
    </row>
    <row r="187" spans="1:60" s="51" customFormat="1">
      <c r="A187" s="50"/>
      <c r="D187" s="52"/>
      <c r="E187" s="53"/>
      <c r="F187" s="300"/>
      <c r="G187" s="54"/>
      <c r="I187" s="55"/>
      <c r="O187" s="56"/>
      <c r="P187" s="56"/>
      <c r="R187" s="301"/>
      <c r="S187" s="301"/>
      <c r="T187" s="301"/>
      <c r="U187" s="301"/>
      <c r="V187" s="301"/>
      <c r="W187" s="301"/>
      <c r="X187" s="301"/>
      <c r="Y187" s="301"/>
      <c r="Z187" s="301"/>
      <c r="AA187" s="301"/>
      <c r="AB187" s="301"/>
      <c r="AC187" s="301"/>
      <c r="AD187" s="302"/>
      <c r="AE187" s="302"/>
      <c r="AF187" s="302"/>
      <c r="AG187" s="302"/>
      <c r="AH187" s="302"/>
      <c r="AI187" s="302"/>
      <c r="AJ187" s="302"/>
      <c r="AK187" s="302"/>
      <c r="AL187" s="302"/>
      <c r="AM187" s="302"/>
      <c r="AN187" s="302"/>
      <c r="AO187" s="302"/>
      <c r="BB187" s="57"/>
      <c r="BC187" s="57"/>
      <c r="BD187" s="57"/>
      <c r="BE187" s="58"/>
      <c r="BF187" s="58"/>
      <c r="BG187" s="58"/>
      <c r="BH187" s="58"/>
    </row>
    <row r="188" spans="1:60" s="51" customFormat="1">
      <c r="A188" s="50"/>
      <c r="D188" s="52"/>
      <c r="E188" s="53"/>
      <c r="F188" s="300"/>
      <c r="G188" s="54"/>
      <c r="I188" s="55"/>
      <c r="O188" s="56"/>
      <c r="P188" s="56"/>
      <c r="R188" s="301"/>
      <c r="S188" s="301"/>
      <c r="T188" s="301"/>
      <c r="U188" s="301"/>
      <c r="V188" s="301"/>
      <c r="W188" s="301"/>
      <c r="X188" s="301"/>
      <c r="Y188" s="301"/>
      <c r="Z188" s="301"/>
      <c r="AA188" s="301"/>
      <c r="AB188" s="301"/>
      <c r="AC188" s="301"/>
      <c r="AD188" s="302"/>
      <c r="AE188" s="302"/>
      <c r="AF188" s="302"/>
      <c r="AG188" s="302"/>
      <c r="AH188" s="302"/>
      <c r="AI188" s="302"/>
      <c r="AJ188" s="302"/>
      <c r="AK188" s="302"/>
      <c r="AL188" s="302"/>
      <c r="AM188" s="302"/>
      <c r="AN188" s="302"/>
      <c r="AO188" s="302"/>
      <c r="BB188" s="57"/>
      <c r="BC188" s="57"/>
      <c r="BD188" s="57"/>
      <c r="BE188" s="58"/>
      <c r="BF188" s="58"/>
      <c r="BG188" s="58"/>
      <c r="BH188" s="58"/>
    </row>
    <row r="189" spans="1:60" s="51" customFormat="1">
      <c r="A189" s="50"/>
      <c r="D189" s="52"/>
      <c r="E189" s="53"/>
      <c r="F189" s="300"/>
      <c r="G189" s="54"/>
      <c r="I189" s="55"/>
      <c r="O189" s="56"/>
      <c r="P189" s="56"/>
      <c r="R189" s="301"/>
      <c r="S189" s="301"/>
      <c r="T189" s="301"/>
      <c r="U189" s="301"/>
      <c r="V189" s="301"/>
      <c r="W189" s="301"/>
      <c r="X189" s="301"/>
      <c r="Y189" s="301"/>
      <c r="Z189" s="301"/>
      <c r="AA189" s="301"/>
      <c r="AB189" s="301"/>
      <c r="AC189" s="301"/>
      <c r="AD189" s="302"/>
      <c r="AE189" s="302"/>
      <c r="AF189" s="302"/>
      <c r="AG189" s="302"/>
      <c r="AH189" s="302"/>
      <c r="AI189" s="302"/>
      <c r="AJ189" s="302"/>
      <c r="AK189" s="302"/>
      <c r="AL189" s="302"/>
      <c r="AM189" s="302"/>
      <c r="AN189" s="302"/>
      <c r="AO189" s="302"/>
      <c r="BB189" s="57"/>
      <c r="BC189" s="57"/>
      <c r="BD189" s="57"/>
      <c r="BE189" s="58"/>
      <c r="BF189" s="58"/>
      <c r="BG189" s="58"/>
      <c r="BH189" s="58"/>
    </row>
    <row r="190" spans="1:60" s="51" customFormat="1">
      <c r="A190" s="50"/>
      <c r="D190" s="52"/>
      <c r="E190" s="53"/>
      <c r="F190" s="300"/>
      <c r="G190" s="54"/>
      <c r="I190" s="55"/>
      <c r="O190" s="56"/>
      <c r="P190" s="56"/>
      <c r="R190" s="301"/>
      <c r="S190" s="301"/>
      <c r="T190" s="301"/>
      <c r="U190" s="301"/>
      <c r="V190" s="301"/>
      <c r="W190" s="301"/>
      <c r="X190" s="301"/>
      <c r="Y190" s="301"/>
      <c r="Z190" s="301"/>
      <c r="AA190" s="301"/>
      <c r="AB190" s="301"/>
      <c r="AC190" s="301"/>
      <c r="AD190" s="302"/>
      <c r="AE190" s="302"/>
      <c r="AF190" s="302"/>
      <c r="AG190" s="302"/>
      <c r="AH190" s="302"/>
      <c r="AI190" s="302"/>
      <c r="AJ190" s="302"/>
      <c r="AK190" s="302"/>
      <c r="AL190" s="302"/>
      <c r="AM190" s="302"/>
      <c r="AN190" s="302"/>
      <c r="AO190" s="302"/>
      <c r="BB190" s="57"/>
      <c r="BC190" s="57"/>
      <c r="BD190" s="57"/>
      <c r="BE190" s="58"/>
      <c r="BF190" s="58"/>
      <c r="BG190" s="58"/>
      <c r="BH190" s="58"/>
    </row>
    <row r="191" spans="1:60" s="51" customFormat="1">
      <c r="A191" s="50"/>
      <c r="D191" s="52"/>
      <c r="E191" s="53"/>
      <c r="F191" s="300"/>
      <c r="G191" s="54"/>
      <c r="I191" s="55"/>
      <c r="O191" s="56"/>
      <c r="P191" s="56"/>
      <c r="R191" s="301"/>
      <c r="S191" s="301"/>
      <c r="T191" s="301"/>
      <c r="U191" s="301"/>
      <c r="V191" s="301"/>
      <c r="W191" s="301"/>
      <c r="X191" s="301"/>
      <c r="Y191" s="301"/>
      <c r="Z191" s="301"/>
      <c r="AA191" s="301"/>
      <c r="AB191" s="301"/>
      <c r="AC191" s="301"/>
      <c r="AD191" s="302"/>
      <c r="AE191" s="302"/>
      <c r="AF191" s="302"/>
      <c r="AG191" s="302"/>
      <c r="AH191" s="302"/>
      <c r="AI191" s="302"/>
      <c r="AJ191" s="302"/>
      <c r="AK191" s="302"/>
      <c r="AL191" s="302"/>
      <c r="AM191" s="302"/>
      <c r="AN191" s="302"/>
      <c r="AO191" s="302"/>
      <c r="BB191" s="57"/>
      <c r="BC191" s="57"/>
      <c r="BD191" s="57"/>
      <c r="BE191" s="58"/>
      <c r="BF191" s="58"/>
      <c r="BG191" s="58"/>
      <c r="BH191" s="58"/>
    </row>
    <row r="192" spans="1:60" s="51" customFormat="1">
      <c r="A192" s="50"/>
      <c r="D192" s="52"/>
      <c r="E192" s="53"/>
      <c r="F192" s="300"/>
      <c r="G192" s="54"/>
      <c r="I192" s="55"/>
      <c r="O192" s="56"/>
      <c r="P192" s="56"/>
      <c r="R192" s="301"/>
      <c r="S192" s="301"/>
      <c r="T192" s="301"/>
      <c r="U192" s="301"/>
      <c r="V192" s="301"/>
      <c r="W192" s="301"/>
      <c r="X192" s="301"/>
      <c r="Y192" s="301"/>
      <c r="Z192" s="301"/>
      <c r="AA192" s="301"/>
      <c r="AB192" s="301"/>
      <c r="AC192" s="301"/>
      <c r="AD192" s="302"/>
      <c r="AE192" s="302"/>
      <c r="AF192" s="302"/>
      <c r="AG192" s="302"/>
      <c r="AH192" s="302"/>
      <c r="AI192" s="302"/>
      <c r="AJ192" s="302"/>
      <c r="AK192" s="302"/>
      <c r="AL192" s="302"/>
      <c r="AM192" s="302"/>
      <c r="AN192" s="302"/>
      <c r="AO192" s="302"/>
      <c r="BB192" s="57"/>
      <c r="BC192" s="57"/>
      <c r="BD192" s="57"/>
      <c r="BE192" s="58"/>
      <c r="BF192" s="58"/>
      <c r="BG192" s="58"/>
      <c r="BH192" s="58"/>
    </row>
    <row r="193" spans="1:60" s="51" customFormat="1">
      <c r="A193" s="50"/>
      <c r="D193" s="52"/>
      <c r="E193" s="53"/>
      <c r="F193" s="300"/>
      <c r="G193" s="54"/>
      <c r="I193" s="55"/>
      <c r="O193" s="56"/>
      <c r="P193" s="56"/>
      <c r="R193" s="301"/>
      <c r="S193" s="301"/>
      <c r="T193" s="301"/>
      <c r="U193" s="301"/>
      <c r="V193" s="301"/>
      <c r="W193" s="301"/>
      <c r="X193" s="301"/>
      <c r="Y193" s="301"/>
      <c r="Z193" s="301"/>
      <c r="AA193" s="301"/>
      <c r="AB193" s="301"/>
      <c r="AC193" s="301"/>
      <c r="AD193" s="302"/>
      <c r="AE193" s="302"/>
      <c r="AF193" s="302"/>
      <c r="AG193" s="302"/>
      <c r="AH193" s="302"/>
      <c r="AI193" s="302"/>
      <c r="AJ193" s="302"/>
      <c r="AK193" s="302"/>
      <c r="AL193" s="302"/>
      <c r="AM193" s="302"/>
      <c r="AN193" s="302"/>
      <c r="AO193" s="302"/>
      <c r="BB193" s="57"/>
      <c r="BC193" s="57"/>
      <c r="BD193" s="57"/>
      <c r="BE193" s="58"/>
      <c r="BF193" s="58"/>
      <c r="BG193" s="58"/>
      <c r="BH193" s="58"/>
    </row>
    <row r="194" spans="1:60" s="51" customFormat="1">
      <c r="A194" s="50"/>
      <c r="D194" s="52"/>
      <c r="E194" s="53"/>
      <c r="F194" s="300"/>
      <c r="G194" s="54"/>
      <c r="I194" s="55"/>
      <c r="O194" s="56"/>
      <c r="P194" s="56"/>
      <c r="R194" s="301"/>
      <c r="S194" s="301"/>
      <c r="T194" s="301"/>
      <c r="U194" s="301"/>
      <c r="V194" s="301"/>
      <c r="W194" s="301"/>
      <c r="X194" s="301"/>
      <c r="Y194" s="301"/>
      <c r="Z194" s="301"/>
      <c r="AA194" s="301"/>
      <c r="AB194" s="301"/>
      <c r="AC194" s="301"/>
      <c r="AD194" s="302"/>
      <c r="AE194" s="302"/>
      <c r="AF194" s="302"/>
      <c r="AG194" s="302"/>
      <c r="AH194" s="302"/>
      <c r="AI194" s="302"/>
      <c r="AJ194" s="302"/>
      <c r="AK194" s="302"/>
      <c r="AL194" s="302"/>
      <c r="AM194" s="302"/>
      <c r="AN194" s="302"/>
      <c r="AO194" s="302"/>
      <c r="BB194" s="57"/>
      <c r="BC194" s="57"/>
      <c r="BD194" s="57"/>
      <c r="BE194" s="58"/>
      <c r="BF194" s="58"/>
      <c r="BG194" s="58"/>
      <c r="BH194" s="58"/>
    </row>
    <row r="195" spans="1:60" s="51" customFormat="1">
      <c r="A195" s="50"/>
      <c r="D195" s="52"/>
      <c r="E195" s="53"/>
      <c r="F195" s="300"/>
      <c r="G195" s="54"/>
      <c r="I195" s="55"/>
      <c r="O195" s="56"/>
      <c r="P195" s="56"/>
      <c r="R195" s="301"/>
      <c r="S195" s="301"/>
      <c r="T195" s="301"/>
      <c r="U195" s="301"/>
      <c r="V195" s="301"/>
      <c r="W195" s="301"/>
      <c r="X195" s="301"/>
      <c r="Y195" s="301"/>
      <c r="Z195" s="301"/>
      <c r="AA195" s="301"/>
      <c r="AB195" s="301"/>
      <c r="AC195" s="301"/>
      <c r="AD195" s="302"/>
      <c r="AE195" s="302"/>
      <c r="AF195" s="302"/>
      <c r="AG195" s="302"/>
      <c r="AH195" s="302"/>
      <c r="AI195" s="302"/>
      <c r="AJ195" s="302"/>
      <c r="AK195" s="302"/>
      <c r="AL195" s="302"/>
      <c r="AM195" s="302"/>
      <c r="AN195" s="302"/>
      <c r="AO195" s="302"/>
      <c r="BB195" s="57"/>
      <c r="BC195" s="57"/>
      <c r="BD195" s="57"/>
      <c r="BE195" s="58"/>
      <c r="BF195" s="58"/>
      <c r="BG195" s="58"/>
      <c r="BH195" s="58"/>
    </row>
    <row r="196" spans="1:60" s="51" customFormat="1">
      <c r="A196" s="50"/>
      <c r="D196" s="52"/>
      <c r="E196" s="53"/>
      <c r="F196" s="300"/>
      <c r="G196" s="54"/>
      <c r="I196" s="55"/>
      <c r="O196" s="56"/>
      <c r="P196" s="56"/>
      <c r="R196" s="301"/>
      <c r="S196" s="301"/>
      <c r="T196" s="301"/>
      <c r="U196" s="301"/>
      <c r="V196" s="301"/>
      <c r="W196" s="301"/>
      <c r="X196" s="301"/>
      <c r="Y196" s="301"/>
      <c r="Z196" s="301"/>
      <c r="AA196" s="301"/>
      <c r="AB196" s="301"/>
      <c r="AC196" s="301"/>
      <c r="AD196" s="302"/>
      <c r="AE196" s="302"/>
      <c r="AF196" s="302"/>
      <c r="AG196" s="302"/>
      <c r="AH196" s="302"/>
      <c r="AI196" s="302"/>
      <c r="AJ196" s="302"/>
      <c r="AK196" s="302"/>
      <c r="AL196" s="302"/>
      <c r="AM196" s="302"/>
      <c r="AN196" s="302"/>
      <c r="AO196" s="302"/>
      <c r="BB196" s="57"/>
      <c r="BC196" s="57"/>
      <c r="BD196" s="57"/>
      <c r="BE196" s="58"/>
      <c r="BF196" s="58"/>
      <c r="BG196" s="58"/>
      <c r="BH196" s="58"/>
    </row>
    <row r="197" spans="1:60" s="51" customFormat="1">
      <c r="A197" s="50"/>
      <c r="D197" s="52"/>
      <c r="E197" s="53"/>
      <c r="F197" s="300"/>
      <c r="G197" s="54"/>
      <c r="I197" s="55"/>
      <c r="O197" s="56"/>
      <c r="P197" s="56"/>
      <c r="R197" s="301"/>
      <c r="S197" s="301"/>
      <c r="T197" s="301"/>
      <c r="U197" s="301"/>
      <c r="V197" s="301"/>
      <c r="W197" s="301"/>
      <c r="X197" s="301"/>
      <c r="Y197" s="301"/>
      <c r="Z197" s="301"/>
      <c r="AA197" s="301"/>
      <c r="AB197" s="301"/>
      <c r="AC197" s="301"/>
      <c r="AD197" s="302"/>
      <c r="AE197" s="302"/>
      <c r="AF197" s="302"/>
      <c r="AG197" s="302"/>
      <c r="AH197" s="302"/>
      <c r="AI197" s="302"/>
      <c r="AJ197" s="302"/>
      <c r="AK197" s="302"/>
      <c r="AL197" s="302"/>
      <c r="AM197" s="302"/>
      <c r="AN197" s="302"/>
      <c r="AO197" s="302"/>
      <c r="BB197" s="57"/>
      <c r="BC197" s="57"/>
      <c r="BD197" s="57"/>
      <c r="BE197" s="58"/>
      <c r="BF197" s="58"/>
      <c r="BG197" s="58"/>
      <c r="BH197" s="58"/>
    </row>
    <row r="198" spans="1:60" s="51" customFormat="1">
      <c r="A198" s="50"/>
      <c r="D198" s="52"/>
      <c r="E198" s="53"/>
      <c r="F198" s="300"/>
      <c r="G198" s="54"/>
      <c r="I198" s="55"/>
      <c r="O198" s="56"/>
      <c r="P198" s="56"/>
      <c r="R198" s="301"/>
      <c r="S198" s="301"/>
      <c r="T198" s="301"/>
      <c r="U198" s="301"/>
      <c r="V198" s="301"/>
      <c r="W198" s="301"/>
      <c r="X198" s="301"/>
      <c r="Y198" s="301"/>
      <c r="Z198" s="301"/>
      <c r="AA198" s="301"/>
      <c r="AB198" s="301"/>
      <c r="AC198" s="301"/>
      <c r="AD198" s="302"/>
      <c r="AE198" s="302"/>
      <c r="AF198" s="302"/>
      <c r="AG198" s="302"/>
      <c r="AH198" s="302"/>
      <c r="AI198" s="302"/>
      <c r="AJ198" s="302"/>
      <c r="AK198" s="302"/>
      <c r="AL198" s="302"/>
      <c r="AM198" s="302"/>
      <c r="AN198" s="302"/>
      <c r="AO198" s="302"/>
      <c r="BB198" s="57"/>
      <c r="BC198" s="57"/>
      <c r="BD198" s="57"/>
      <c r="BE198" s="58"/>
      <c r="BF198" s="58"/>
      <c r="BG198" s="58"/>
      <c r="BH198" s="58"/>
    </row>
    <row r="199" spans="1:60" s="51" customFormat="1">
      <c r="A199" s="50"/>
      <c r="D199" s="52"/>
      <c r="E199" s="53"/>
      <c r="F199" s="300"/>
      <c r="G199" s="54"/>
      <c r="I199" s="55"/>
      <c r="O199" s="56"/>
      <c r="P199" s="56"/>
      <c r="R199" s="301"/>
      <c r="S199" s="301"/>
      <c r="T199" s="301"/>
      <c r="U199" s="301"/>
      <c r="V199" s="301"/>
      <c r="W199" s="301"/>
      <c r="X199" s="301"/>
      <c r="Y199" s="301"/>
      <c r="Z199" s="301"/>
      <c r="AA199" s="301"/>
      <c r="AB199" s="301"/>
      <c r="AC199" s="301"/>
      <c r="AD199" s="302"/>
      <c r="AE199" s="302"/>
      <c r="AF199" s="302"/>
      <c r="AG199" s="302"/>
      <c r="AH199" s="302"/>
      <c r="AI199" s="302"/>
      <c r="AJ199" s="302"/>
      <c r="AK199" s="302"/>
      <c r="AL199" s="302"/>
      <c r="AM199" s="302"/>
      <c r="AN199" s="302"/>
      <c r="AO199" s="302"/>
      <c r="BB199" s="57"/>
      <c r="BC199" s="57"/>
      <c r="BD199" s="57"/>
      <c r="BE199" s="58"/>
      <c r="BF199" s="58"/>
      <c r="BG199" s="58"/>
      <c r="BH199" s="58"/>
    </row>
    <row r="200" spans="1:60" s="51" customFormat="1">
      <c r="A200" s="50"/>
      <c r="D200" s="52"/>
      <c r="E200" s="53"/>
      <c r="F200" s="300"/>
      <c r="G200" s="54"/>
      <c r="I200" s="55"/>
      <c r="O200" s="56"/>
      <c r="P200" s="56"/>
      <c r="R200" s="301"/>
      <c r="S200" s="301"/>
      <c r="T200" s="301"/>
      <c r="U200" s="301"/>
      <c r="V200" s="301"/>
      <c r="W200" s="301"/>
      <c r="X200" s="301"/>
      <c r="Y200" s="301"/>
      <c r="Z200" s="301"/>
      <c r="AA200" s="301"/>
      <c r="AB200" s="301"/>
      <c r="AC200" s="301"/>
      <c r="AD200" s="302"/>
      <c r="AE200" s="302"/>
      <c r="AF200" s="302"/>
      <c r="AG200" s="302"/>
      <c r="AH200" s="302"/>
      <c r="AI200" s="302"/>
      <c r="AJ200" s="302"/>
      <c r="AK200" s="302"/>
      <c r="AL200" s="302"/>
      <c r="AM200" s="302"/>
      <c r="AN200" s="302"/>
      <c r="AO200" s="302"/>
      <c r="BB200" s="57"/>
      <c r="BC200" s="57"/>
      <c r="BD200" s="57"/>
      <c r="BE200" s="58"/>
      <c r="BF200" s="58"/>
      <c r="BG200" s="58"/>
      <c r="BH200" s="58"/>
    </row>
    <row r="201" spans="1:60" s="51" customFormat="1">
      <c r="A201" s="50"/>
      <c r="D201" s="52"/>
      <c r="E201" s="53"/>
      <c r="F201" s="300"/>
      <c r="G201" s="54"/>
      <c r="I201" s="55"/>
      <c r="O201" s="56"/>
      <c r="P201" s="56"/>
      <c r="R201" s="301"/>
      <c r="S201" s="301"/>
      <c r="T201" s="301"/>
      <c r="U201" s="301"/>
      <c r="V201" s="301"/>
      <c r="W201" s="301"/>
      <c r="X201" s="301"/>
      <c r="Y201" s="301"/>
      <c r="Z201" s="301"/>
      <c r="AA201" s="301"/>
      <c r="AB201" s="301"/>
      <c r="AC201" s="301"/>
      <c r="AD201" s="302"/>
      <c r="AE201" s="302"/>
      <c r="AF201" s="302"/>
      <c r="AG201" s="302"/>
      <c r="AH201" s="302"/>
      <c r="AI201" s="302"/>
      <c r="AJ201" s="302"/>
      <c r="AK201" s="302"/>
      <c r="AL201" s="302"/>
      <c r="AM201" s="302"/>
      <c r="AN201" s="302"/>
      <c r="AO201" s="302"/>
      <c r="BB201" s="57"/>
      <c r="BC201" s="57"/>
      <c r="BD201" s="57"/>
      <c r="BE201" s="58"/>
      <c r="BF201" s="58"/>
      <c r="BG201" s="58"/>
      <c r="BH201" s="58"/>
    </row>
    <row r="202" spans="1:60" s="51" customFormat="1">
      <c r="A202" s="50"/>
      <c r="D202" s="52"/>
      <c r="E202" s="53"/>
      <c r="F202" s="300"/>
      <c r="G202" s="54"/>
      <c r="I202" s="55"/>
      <c r="O202" s="56"/>
      <c r="P202" s="56"/>
      <c r="R202" s="301"/>
      <c r="S202" s="301"/>
      <c r="T202" s="301"/>
      <c r="U202" s="301"/>
      <c r="V202" s="301"/>
      <c r="W202" s="301"/>
      <c r="X202" s="301"/>
      <c r="Y202" s="301"/>
      <c r="Z202" s="301"/>
      <c r="AA202" s="301"/>
      <c r="AB202" s="301"/>
      <c r="AC202" s="301"/>
      <c r="AD202" s="302"/>
      <c r="AE202" s="302"/>
      <c r="AF202" s="302"/>
      <c r="AG202" s="302"/>
      <c r="AH202" s="302"/>
      <c r="AI202" s="302"/>
      <c r="AJ202" s="302"/>
      <c r="AK202" s="302"/>
      <c r="AL202" s="302"/>
      <c r="AM202" s="302"/>
      <c r="AN202" s="302"/>
      <c r="AO202" s="302"/>
      <c r="BB202" s="57"/>
      <c r="BC202" s="57"/>
      <c r="BD202" s="57"/>
      <c r="BE202" s="58"/>
      <c r="BF202" s="58"/>
      <c r="BG202" s="58"/>
      <c r="BH202" s="58"/>
    </row>
    <row r="203" spans="1:60" s="51" customFormat="1">
      <c r="A203" s="50"/>
      <c r="D203" s="52"/>
      <c r="E203" s="53"/>
      <c r="F203" s="300"/>
      <c r="G203" s="54"/>
      <c r="I203" s="55"/>
      <c r="O203" s="56"/>
      <c r="P203" s="56"/>
      <c r="R203" s="301"/>
      <c r="S203" s="301"/>
      <c r="T203" s="301"/>
      <c r="U203" s="301"/>
      <c r="V203" s="301"/>
      <c r="W203" s="301"/>
      <c r="X203" s="301"/>
      <c r="Y203" s="301"/>
      <c r="Z203" s="301"/>
      <c r="AA203" s="301"/>
      <c r="AB203" s="301"/>
      <c r="AC203" s="301"/>
      <c r="AD203" s="302"/>
      <c r="AE203" s="302"/>
      <c r="AF203" s="302"/>
      <c r="AG203" s="302"/>
      <c r="AH203" s="302"/>
      <c r="AI203" s="302"/>
      <c r="AJ203" s="302"/>
      <c r="AK203" s="302"/>
      <c r="AL203" s="302"/>
      <c r="AM203" s="302"/>
      <c r="AN203" s="302"/>
      <c r="AO203" s="302"/>
      <c r="BB203" s="57"/>
      <c r="BC203" s="57"/>
      <c r="BD203" s="57"/>
      <c r="BE203" s="58"/>
      <c r="BF203" s="58"/>
      <c r="BG203" s="58"/>
      <c r="BH203" s="58"/>
    </row>
    <row r="204" spans="1:60" s="51" customFormat="1">
      <c r="A204" s="50"/>
      <c r="D204" s="52"/>
      <c r="E204" s="53"/>
      <c r="F204" s="300"/>
      <c r="G204" s="54"/>
      <c r="I204" s="55"/>
      <c r="O204" s="56"/>
      <c r="P204" s="56"/>
      <c r="R204" s="301"/>
      <c r="S204" s="301"/>
      <c r="T204" s="301"/>
      <c r="U204" s="301"/>
      <c r="V204" s="301"/>
      <c r="W204" s="301"/>
      <c r="X204" s="301"/>
      <c r="Y204" s="301"/>
      <c r="Z204" s="301"/>
      <c r="AA204" s="301"/>
      <c r="AB204" s="301"/>
      <c r="AC204" s="301"/>
      <c r="AD204" s="302"/>
      <c r="AE204" s="302"/>
      <c r="AF204" s="302"/>
      <c r="AG204" s="302"/>
      <c r="AH204" s="302"/>
      <c r="AI204" s="302"/>
      <c r="AJ204" s="302"/>
      <c r="AK204" s="302"/>
      <c r="AL204" s="302"/>
      <c r="AM204" s="302"/>
      <c r="AN204" s="302"/>
      <c r="AO204" s="302"/>
      <c r="BB204" s="57"/>
      <c r="BC204" s="57"/>
      <c r="BD204" s="57"/>
      <c r="BE204" s="58"/>
      <c r="BF204" s="58"/>
      <c r="BG204" s="58"/>
      <c r="BH204" s="58"/>
    </row>
    <row r="205" spans="1:60" s="51" customFormat="1">
      <c r="A205" s="50"/>
      <c r="D205" s="52"/>
      <c r="E205" s="53"/>
      <c r="F205" s="300"/>
      <c r="G205" s="54"/>
      <c r="I205" s="55"/>
      <c r="O205" s="56"/>
      <c r="P205" s="56"/>
      <c r="R205" s="301"/>
      <c r="S205" s="301"/>
      <c r="T205" s="301"/>
      <c r="U205" s="301"/>
      <c r="V205" s="301"/>
      <c r="W205" s="301"/>
      <c r="X205" s="301"/>
      <c r="Y205" s="301"/>
      <c r="Z205" s="301"/>
      <c r="AA205" s="301"/>
      <c r="AB205" s="301"/>
      <c r="AC205" s="301"/>
      <c r="AD205" s="302"/>
      <c r="AE205" s="302"/>
      <c r="AF205" s="302"/>
      <c r="AG205" s="302"/>
      <c r="AH205" s="302"/>
      <c r="AI205" s="302"/>
      <c r="AJ205" s="302"/>
      <c r="AK205" s="302"/>
      <c r="AL205" s="302"/>
      <c r="AM205" s="302"/>
      <c r="AN205" s="302"/>
      <c r="AO205" s="302"/>
      <c r="BB205" s="57"/>
      <c r="BC205" s="57"/>
      <c r="BD205" s="57"/>
      <c r="BE205" s="58"/>
      <c r="BF205" s="58"/>
      <c r="BG205" s="58"/>
      <c r="BH205" s="58"/>
    </row>
    <row r="206" spans="1:60" s="51" customFormat="1">
      <c r="A206" s="50"/>
      <c r="D206" s="52"/>
      <c r="E206" s="53"/>
      <c r="F206" s="300"/>
      <c r="G206" s="54"/>
      <c r="I206" s="55"/>
      <c r="O206" s="56"/>
      <c r="P206" s="56"/>
      <c r="R206" s="301"/>
      <c r="S206" s="301"/>
      <c r="T206" s="301"/>
      <c r="U206" s="301"/>
      <c r="V206" s="301"/>
      <c r="W206" s="301"/>
      <c r="X206" s="301"/>
      <c r="Y206" s="301"/>
      <c r="Z206" s="301"/>
      <c r="AA206" s="301"/>
      <c r="AB206" s="301"/>
      <c r="AC206" s="301"/>
      <c r="AD206" s="302"/>
      <c r="AE206" s="302"/>
      <c r="AF206" s="302"/>
      <c r="AG206" s="302"/>
      <c r="AH206" s="302"/>
      <c r="AI206" s="302"/>
      <c r="AJ206" s="302"/>
      <c r="AK206" s="302"/>
      <c r="AL206" s="302"/>
      <c r="AM206" s="302"/>
      <c r="AN206" s="302"/>
      <c r="AO206" s="302"/>
      <c r="BB206" s="57"/>
      <c r="BC206" s="57"/>
      <c r="BD206" s="57"/>
      <c r="BE206" s="58"/>
      <c r="BF206" s="58"/>
      <c r="BG206" s="58"/>
      <c r="BH206" s="58"/>
    </row>
    <row r="207" spans="1:60" s="51" customFormat="1">
      <c r="A207" s="50"/>
      <c r="D207" s="52"/>
      <c r="E207" s="53"/>
      <c r="F207" s="300"/>
      <c r="G207" s="54"/>
      <c r="I207" s="55"/>
      <c r="O207" s="56"/>
      <c r="P207" s="56"/>
      <c r="R207" s="301"/>
      <c r="S207" s="301"/>
      <c r="T207" s="301"/>
      <c r="U207" s="301"/>
      <c r="V207" s="301"/>
      <c r="W207" s="301"/>
      <c r="X207" s="301"/>
      <c r="Y207" s="301"/>
      <c r="Z207" s="301"/>
      <c r="AA207" s="301"/>
      <c r="AB207" s="301"/>
      <c r="AC207" s="301"/>
      <c r="AD207" s="302"/>
      <c r="AE207" s="302"/>
      <c r="AF207" s="302"/>
      <c r="AG207" s="302"/>
      <c r="AH207" s="302"/>
      <c r="AI207" s="302"/>
      <c r="AJ207" s="302"/>
      <c r="AK207" s="302"/>
      <c r="AL207" s="302"/>
      <c r="AM207" s="302"/>
      <c r="AN207" s="302"/>
      <c r="AO207" s="302"/>
      <c r="BB207" s="57"/>
      <c r="BC207" s="57"/>
      <c r="BD207" s="57"/>
      <c r="BE207" s="58"/>
      <c r="BF207" s="58"/>
      <c r="BG207" s="58"/>
      <c r="BH207" s="58"/>
    </row>
    <row r="208" spans="1:60" s="51" customFormat="1">
      <c r="A208" s="50"/>
      <c r="D208" s="52"/>
      <c r="E208" s="53"/>
      <c r="F208" s="300"/>
      <c r="G208" s="54"/>
      <c r="I208" s="55"/>
      <c r="O208" s="56"/>
      <c r="P208" s="56"/>
      <c r="R208" s="301"/>
      <c r="S208" s="301"/>
      <c r="T208" s="301"/>
      <c r="U208" s="301"/>
      <c r="V208" s="301"/>
      <c r="W208" s="301"/>
      <c r="X208" s="301"/>
      <c r="Y208" s="301"/>
      <c r="Z208" s="301"/>
      <c r="AA208" s="301"/>
      <c r="AB208" s="301"/>
      <c r="AC208" s="301"/>
      <c r="AD208" s="302"/>
      <c r="AE208" s="302"/>
      <c r="AF208" s="302"/>
      <c r="AG208" s="302"/>
      <c r="AH208" s="302"/>
      <c r="AI208" s="302"/>
      <c r="AJ208" s="302"/>
      <c r="AK208" s="302"/>
      <c r="AL208" s="302"/>
      <c r="AM208" s="302"/>
      <c r="AN208" s="302"/>
      <c r="AO208" s="302"/>
      <c r="BB208" s="57"/>
      <c r="BC208" s="57"/>
      <c r="BD208" s="57"/>
      <c r="BE208" s="58"/>
      <c r="BF208" s="58"/>
      <c r="BG208" s="58"/>
      <c r="BH208" s="58"/>
    </row>
    <row r="209" spans="1:60" s="51" customFormat="1">
      <c r="A209" s="50"/>
      <c r="D209" s="52"/>
      <c r="E209" s="53"/>
      <c r="F209" s="300"/>
      <c r="G209" s="54"/>
      <c r="I209" s="55"/>
      <c r="O209" s="56"/>
      <c r="P209" s="56"/>
      <c r="R209" s="301"/>
      <c r="S209" s="301"/>
      <c r="T209" s="301"/>
      <c r="U209" s="301"/>
      <c r="V209" s="301"/>
      <c r="W209" s="301"/>
      <c r="X209" s="301"/>
      <c r="Y209" s="301"/>
      <c r="Z209" s="301"/>
      <c r="AA209" s="301"/>
      <c r="AB209" s="301"/>
      <c r="AC209" s="301"/>
      <c r="AD209" s="302"/>
      <c r="AE209" s="302"/>
      <c r="AF209" s="302"/>
      <c r="AG209" s="302"/>
      <c r="AH209" s="302"/>
      <c r="AI209" s="302"/>
      <c r="AJ209" s="302"/>
      <c r="AK209" s="302"/>
      <c r="AL209" s="302"/>
      <c r="AM209" s="302"/>
      <c r="AN209" s="302"/>
      <c r="AO209" s="302"/>
      <c r="BB209" s="57"/>
      <c r="BC209" s="57"/>
      <c r="BD209" s="57"/>
      <c r="BE209" s="58"/>
      <c r="BF209" s="58"/>
      <c r="BG209" s="58"/>
      <c r="BH209" s="58"/>
    </row>
    <row r="210" spans="1:60" s="51" customFormat="1">
      <c r="A210" s="50"/>
      <c r="D210" s="52"/>
      <c r="E210" s="53"/>
      <c r="F210" s="300"/>
      <c r="G210" s="54"/>
      <c r="I210" s="55"/>
      <c r="O210" s="56"/>
      <c r="P210" s="56"/>
      <c r="R210" s="301"/>
      <c r="S210" s="301"/>
      <c r="T210" s="301"/>
      <c r="U210" s="301"/>
      <c r="V210" s="301"/>
      <c r="W210" s="301"/>
      <c r="X210" s="301"/>
      <c r="Y210" s="301"/>
      <c r="Z210" s="301"/>
      <c r="AA210" s="301"/>
      <c r="AB210" s="301"/>
      <c r="AC210" s="301"/>
      <c r="AD210" s="302"/>
      <c r="AE210" s="302"/>
      <c r="AF210" s="302"/>
      <c r="AG210" s="302"/>
      <c r="AH210" s="302"/>
      <c r="AI210" s="302"/>
      <c r="AJ210" s="302"/>
      <c r="AK210" s="302"/>
      <c r="AL210" s="302"/>
      <c r="AM210" s="302"/>
      <c r="AN210" s="302"/>
      <c r="AO210" s="302"/>
      <c r="BB210" s="57"/>
      <c r="BC210" s="57"/>
      <c r="BD210" s="57"/>
      <c r="BE210" s="58"/>
      <c r="BF210" s="58"/>
      <c r="BG210" s="58"/>
      <c r="BH210" s="58"/>
    </row>
    <row r="211" spans="1:60" s="51" customFormat="1">
      <c r="A211" s="50"/>
      <c r="D211" s="52"/>
      <c r="E211" s="53"/>
      <c r="F211" s="300"/>
      <c r="G211" s="54"/>
      <c r="I211" s="55"/>
      <c r="O211" s="56"/>
      <c r="P211" s="56"/>
      <c r="R211" s="301"/>
      <c r="S211" s="301"/>
      <c r="T211" s="301"/>
      <c r="U211" s="301"/>
      <c r="V211" s="301"/>
      <c r="W211" s="301"/>
      <c r="X211" s="301"/>
      <c r="Y211" s="301"/>
      <c r="Z211" s="301"/>
      <c r="AA211" s="301"/>
      <c r="AB211" s="301"/>
      <c r="AC211" s="301"/>
      <c r="AD211" s="302"/>
      <c r="AE211" s="302"/>
      <c r="AF211" s="302"/>
      <c r="AG211" s="302"/>
      <c r="AH211" s="302"/>
      <c r="AI211" s="302"/>
      <c r="AJ211" s="302"/>
      <c r="AK211" s="302"/>
      <c r="AL211" s="302"/>
      <c r="AM211" s="302"/>
      <c r="AN211" s="302"/>
      <c r="AO211" s="302"/>
      <c r="BB211" s="57"/>
      <c r="BC211" s="57"/>
      <c r="BD211" s="57"/>
      <c r="BE211" s="58"/>
      <c r="BF211" s="58"/>
      <c r="BG211" s="58"/>
      <c r="BH211" s="58"/>
    </row>
    <row r="212" spans="1:60" s="51" customFormat="1">
      <c r="A212" s="50"/>
      <c r="D212" s="52"/>
      <c r="E212" s="53"/>
      <c r="F212" s="300"/>
      <c r="G212" s="54"/>
      <c r="I212" s="55"/>
      <c r="O212" s="56"/>
      <c r="P212" s="56"/>
      <c r="R212" s="301"/>
      <c r="S212" s="301"/>
      <c r="T212" s="301"/>
      <c r="U212" s="301"/>
      <c r="V212" s="301"/>
      <c r="W212" s="301"/>
      <c r="X212" s="301"/>
      <c r="Y212" s="301"/>
      <c r="Z212" s="301"/>
      <c r="AA212" s="301"/>
      <c r="AB212" s="301"/>
      <c r="AC212" s="301"/>
      <c r="AD212" s="302"/>
      <c r="AE212" s="302"/>
      <c r="AF212" s="302"/>
      <c r="AG212" s="302"/>
      <c r="AH212" s="302"/>
      <c r="AI212" s="302"/>
      <c r="AJ212" s="302"/>
      <c r="AK212" s="302"/>
      <c r="AL212" s="302"/>
      <c r="AM212" s="302"/>
      <c r="AN212" s="302"/>
      <c r="AO212" s="302"/>
      <c r="BB212" s="57"/>
      <c r="BC212" s="57"/>
      <c r="BD212" s="57"/>
      <c r="BE212" s="58"/>
      <c r="BF212" s="58"/>
      <c r="BG212" s="58"/>
      <c r="BH212" s="58"/>
    </row>
    <row r="213" spans="1:60" s="51" customFormat="1">
      <c r="A213" s="50"/>
      <c r="D213" s="52"/>
      <c r="E213" s="53"/>
      <c r="F213" s="300"/>
      <c r="G213" s="54"/>
      <c r="I213" s="55"/>
      <c r="O213" s="56"/>
      <c r="P213" s="56"/>
      <c r="R213" s="301"/>
      <c r="S213" s="301"/>
      <c r="T213" s="301"/>
      <c r="U213" s="301"/>
      <c r="V213" s="301"/>
      <c r="W213" s="301"/>
      <c r="X213" s="301"/>
      <c r="Y213" s="301"/>
      <c r="Z213" s="301"/>
      <c r="AA213" s="301"/>
      <c r="AB213" s="301"/>
      <c r="AC213" s="301"/>
      <c r="AD213" s="302"/>
      <c r="AE213" s="302"/>
      <c r="AF213" s="302"/>
      <c r="AG213" s="302"/>
      <c r="AH213" s="302"/>
      <c r="AI213" s="302"/>
      <c r="AJ213" s="302"/>
      <c r="AK213" s="302"/>
      <c r="AL213" s="302"/>
      <c r="AM213" s="302"/>
      <c r="AN213" s="302"/>
      <c r="AO213" s="302"/>
      <c r="BB213" s="57"/>
      <c r="BC213" s="57"/>
      <c r="BD213" s="57"/>
      <c r="BE213" s="58"/>
      <c r="BF213" s="58"/>
      <c r="BG213" s="58"/>
      <c r="BH213" s="58"/>
    </row>
    <row r="214" spans="1:60" s="51" customFormat="1">
      <c r="A214" s="50"/>
      <c r="D214" s="52"/>
      <c r="E214" s="53"/>
      <c r="F214" s="300"/>
      <c r="G214" s="54"/>
      <c r="I214" s="55"/>
      <c r="O214" s="56"/>
      <c r="P214" s="56"/>
      <c r="R214" s="301"/>
      <c r="S214" s="301"/>
      <c r="T214" s="301"/>
      <c r="U214" s="301"/>
      <c r="V214" s="301"/>
      <c r="W214" s="301"/>
      <c r="X214" s="301"/>
      <c r="Y214" s="301"/>
      <c r="Z214" s="301"/>
      <c r="AA214" s="301"/>
      <c r="AB214" s="301"/>
      <c r="AC214" s="301"/>
      <c r="AD214" s="302"/>
      <c r="AE214" s="302"/>
      <c r="AF214" s="302"/>
      <c r="AG214" s="302"/>
      <c r="AH214" s="302"/>
      <c r="AI214" s="302"/>
      <c r="AJ214" s="302"/>
      <c r="AK214" s="302"/>
      <c r="AL214" s="302"/>
      <c r="AM214" s="302"/>
      <c r="AN214" s="302"/>
      <c r="AO214" s="302"/>
      <c r="BB214" s="57"/>
      <c r="BC214" s="57"/>
      <c r="BD214" s="57"/>
      <c r="BE214" s="58"/>
      <c r="BF214" s="58"/>
      <c r="BG214" s="58"/>
      <c r="BH214" s="58"/>
    </row>
    <row r="215" spans="1:60" s="51" customFormat="1">
      <c r="A215" s="50"/>
      <c r="D215" s="52"/>
      <c r="E215" s="53"/>
      <c r="F215" s="300"/>
      <c r="G215" s="54"/>
      <c r="I215" s="55"/>
      <c r="O215" s="56"/>
      <c r="P215" s="56"/>
      <c r="R215" s="301"/>
      <c r="S215" s="301"/>
      <c r="T215" s="301"/>
      <c r="U215" s="301"/>
      <c r="V215" s="301"/>
      <c r="W215" s="301"/>
      <c r="X215" s="301"/>
      <c r="Y215" s="301"/>
      <c r="Z215" s="301"/>
      <c r="AA215" s="301"/>
      <c r="AB215" s="301"/>
      <c r="AC215" s="301"/>
      <c r="AD215" s="302"/>
      <c r="AE215" s="302"/>
      <c r="AF215" s="302"/>
      <c r="AG215" s="302"/>
      <c r="AH215" s="302"/>
      <c r="AI215" s="302"/>
      <c r="AJ215" s="302"/>
      <c r="AK215" s="302"/>
      <c r="AL215" s="302"/>
      <c r="AM215" s="302"/>
      <c r="AN215" s="302"/>
      <c r="AO215" s="302"/>
      <c r="BB215" s="57"/>
      <c r="BC215" s="57"/>
      <c r="BD215" s="57"/>
      <c r="BE215" s="58"/>
      <c r="BF215" s="58"/>
      <c r="BG215" s="58"/>
      <c r="BH215" s="58"/>
    </row>
    <row r="216" spans="1:60" s="51" customFormat="1">
      <c r="A216" s="50"/>
      <c r="D216" s="52"/>
      <c r="E216" s="53"/>
      <c r="F216" s="300"/>
      <c r="G216" s="54"/>
      <c r="I216" s="55"/>
      <c r="O216" s="56"/>
      <c r="P216" s="56"/>
      <c r="R216" s="301"/>
      <c r="S216" s="301"/>
      <c r="T216" s="301"/>
      <c r="U216" s="301"/>
      <c r="V216" s="301"/>
      <c r="W216" s="301"/>
      <c r="X216" s="301"/>
      <c r="Y216" s="301"/>
      <c r="Z216" s="301"/>
      <c r="AA216" s="301"/>
      <c r="AB216" s="301"/>
      <c r="AC216" s="301"/>
      <c r="AD216" s="302"/>
      <c r="AE216" s="302"/>
      <c r="AF216" s="302"/>
      <c r="AG216" s="302"/>
      <c r="AH216" s="302"/>
      <c r="AI216" s="302"/>
      <c r="AJ216" s="302"/>
      <c r="AK216" s="302"/>
      <c r="AL216" s="302"/>
      <c r="AM216" s="302"/>
      <c r="AN216" s="302"/>
      <c r="AO216" s="302"/>
      <c r="BB216" s="57"/>
      <c r="BC216" s="57"/>
      <c r="BD216" s="57"/>
      <c r="BE216" s="58"/>
      <c r="BF216" s="58"/>
      <c r="BG216" s="58"/>
      <c r="BH216" s="58"/>
    </row>
    <row r="217" spans="1:60" s="51" customFormat="1">
      <c r="A217" s="50"/>
      <c r="D217" s="52"/>
      <c r="E217" s="53"/>
      <c r="F217" s="300"/>
      <c r="G217" s="54"/>
      <c r="I217" s="55"/>
      <c r="O217" s="56"/>
      <c r="P217" s="56"/>
      <c r="R217" s="301"/>
      <c r="S217" s="301"/>
      <c r="T217" s="301"/>
      <c r="U217" s="301"/>
      <c r="V217" s="301"/>
      <c r="W217" s="301"/>
      <c r="X217" s="301"/>
      <c r="Y217" s="301"/>
      <c r="Z217" s="301"/>
      <c r="AA217" s="301"/>
      <c r="AB217" s="301"/>
      <c r="AC217" s="301"/>
      <c r="AD217" s="302"/>
      <c r="AE217" s="302"/>
      <c r="AF217" s="302"/>
      <c r="AG217" s="302"/>
      <c r="AH217" s="302"/>
      <c r="AI217" s="302"/>
      <c r="AJ217" s="302"/>
      <c r="AK217" s="302"/>
      <c r="AL217" s="302"/>
      <c r="AM217" s="302"/>
      <c r="AN217" s="302"/>
      <c r="AO217" s="302"/>
      <c r="BB217" s="57"/>
      <c r="BC217" s="57"/>
      <c r="BD217" s="57"/>
      <c r="BE217" s="58"/>
      <c r="BF217" s="58"/>
      <c r="BG217" s="58"/>
      <c r="BH217" s="58"/>
    </row>
    <row r="218" spans="1:60" s="51" customFormat="1">
      <c r="A218" s="50"/>
      <c r="D218" s="52"/>
      <c r="E218" s="53"/>
      <c r="F218" s="300"/>
      <c r="G218" s="54"/>
      <c r="I218" s="55"/>
      <c r="O218" s="56"/>
      <c r="P218" s="56"/>
      <c r="R218" s="301"/>
      <c r="S218" s="301"/>
      <c r="T218" s="301"/>
      <c r="U218" s="301"/>
      <c r="V218" s="301"/>
      <c r="W218" s="301"/>
      <c r="X218" s="301"/>
      <c r="Y218" s="301"/>
      <c r="Z218" s="301"/>
      <c r="AA218" s="301"/>
      <c r="AB218" s="301"/>
      <c r="AC218" s="301"/>
      <c r="AD218" s="302"/>
      <c r="AE218" s="302"/>
      <c r="AF218" s="302"/>
      <c r="AG218" s="302"/>
      <c r="AH218" s="302"/>
      <c r="AI218" s="302"/>
      <c r="AJ218" s="302"/>
      <c r="AK218" s="302"/>
      <c r="AL218" s="302"/>
      <c r="AM218" s="302"/>
      <c r="AN218" s="302"/>
      <c r="AO218" s="302"/>
      <c r="BB218" s="57"/>
      <c r="BC218" s="57"/>
      <c r="BD218" s="57"/>
      <c r="BE218" s="58"/>
      <c r="BF218" s="58"/>
      <c r="BG218" s="58"/>
      <c r="BH218" s="58"/>
    </row>
    <row r="219" spans="1:60" s="51" customFormat="1">
      <c r="A219" s="50"/>
      <c r="D219" s="52"/>
      <c r="E219" s="53"/>
      <c r="F219" s="300"/>
      <c r="G219" s="54"/>
      <c r="I219" s="55"/>
      <c r="O219" s="56"/>
      <c r="P219" s="56"/>
      <c r="R219" s="301"/>
      <c r="S219" s="301"/>
      <c r="T219" s="301"/>
      <c r="U219" s="301"/>
      <c r="V219" s="301"/>
      <c r="W219" s="301"/>
      <c r="X219" s="301"/>
      <c r="Y219" s="301"/>
      <c r="Z219" s="301"/>
      <c r="AA219" s="301"/>
      <c r="AB219" s="301"/>
      <c r="AC219" s="301"/>
      <c r="AD219" s="302"/>
      <c r="AE219" s="302"/>
      <c r="AF219" s="302"/>
      <c r="AG219" s="302"/>
      <c r="AH219" s="302"/>
      <c r="AI219" s="302"/>
      <c r="AJ219" s="302"/>
      <c r="AK219" s="302"/>
      <c r="AL219" s="302"/>
      <c r="AM219" s="302"/>
      <c r="AN219" s="302"/>
      <c r="AO219" s="302"/>
      <c r="BB219" s="57"/>
      <c r="BC219" s="57"/>
      <c r="BD219" s="57"/>
      <c r="BE219" s="58"/>
      <c r="BF219" s="58"/>
      <c r="BG219" s="58"/>
      <c r="BH219" s="58"/>
    </row>
    <row r="220" spans="1:60" s="51" customFormat="1">
      <c r="A220" s="50"/>
      <c r="D220" s="52"/>
      <c r="E220" s="53"/>
      <c r="F220" s="300"/>
      <c r="G220" s="54"/>
      <c r="I220" s="55"/>
      <c r="O220" s="56"/>
      <c r="P220" s="56"/>
      <c r="R220" s="301"/>
      <c r="S220" s="301"/>
      <c r="T220" s="301"/>
      <c r="U220" s="301"/>
      <c r="V220" s="301"/>
      <c r="W220" s="301"/>
      <c r="X220" s="301"/>
      <c r="Y220" s="301"/>
      <c r="Z220" s="301"/>
      <c r="AA220" s="301"/>
      <c r="AB220" s="301"/>
      <c r="AC220" s="301"/>
      <c r="AD220" s="302"/>
      <c r="AE220" s="302"/>
      <c r="AF220" s="302"/>
      <c r="AG220" s="302"/>
      <c r="AH220" s="302"/>
      <c r="AI220" s="302"/>
      <c r="AJ220" s="302"/>
      <c r="AK220" s="302"/>
      <c r="AL220" s="302"/>
      <c r="AM220" s="302"/>
      <c r="AN220" s="302"/>
      <c r="AO220" s="302"/>
      <c r="BB220" s="57"/>
      <c r="BC220" s="57"/>
      <c r="BD220" s="57"/>
      <c r="BE220" s="58"/>
      <c r="BF220" s="58"/>
      <c r="BG220" s="58"/>
      <c r="BH220" s="58"/>
    </row>
    <row r="221" spans="1:60" s="51" customFormat="1">
      <c r="A221" s="50"/>
      <c r="D221" s="52"/>
      <c r="E221" s="53"/>
      <c r="F221" s="300"/>
      <c r="G221" s="54"/>
      <c r="I221" s="55"/>
      <c r="O221" s="56"/>
      <c r="P221" s="56"/>
      <c r="R221" s="301"/>
      <c r="S221" s="301"/>
      <c r="T221" s="301"/>
      <c r="U221" s="301"/>
      <c r="V221" s="301"/>
      <c r="W221" s="301"/>
      <c r="X221" s="301"/>
      <c r="Y221" s="301"/>
      <c r="Z221" s="301"/>
      <c r="AA221" s="301"/>
      <c r="AB221" s="301"/>
      <c r="AC221" s="301"/>
      <c r="AD221" s="302"/>
      <c r="AE221" s="302"/>
      <c r="AF221" s="302"/>
      <c r="AG221" s="302"/>
      <c r="AH221" s="302"/>
      <c r="AI221" s="302"/>
      <c r="AJ221" s="302"/>
      <c r="AK221" s="302"/>
      <c r="AL221" s="302"/>
      <c r="AM221" s="302"/>
      <c r="AN221" s="302"/>
      <c r="AO221" s="302"/>
      <c r="BB221" s="57"/>
      <c r="BC221" s="57"/>
      <c r="BD221" s="57"/>
      <c r="BE221" s="58"/>
      <c r="BF221" s="58"/>
      <c r="BG221" s="58"/>
      <c r="BH221" s="58"/>
    </row>
    <row r="222" spans="1:60" s="51" customFormat="1">
      <c r="A222" s="50"/>
      <c r="D222" s="52"/>
      <c r="E222" s="53"/>
      <c r="F222" s="300"/>
      <c r="G222" s="54"/>
      <c r="I222" s="55"/>
      <c r="O222" s="56"/>
      <c r="P222" s="56"/>
      <c r="R222" s="301"/>
      <c r="S222" s="301"/>
      <c r="T222" s="301"/>
      <c r="U222" s="301"/>
      <c r="V222" s="301"/>
      <c r="W222" s="301"/>
      <c r="X222" s="301"/>
      <c r="Y222" s="301"/>
      <c r="Z222" s="301"/>
      <c r="AA222" s="301"/>
      <c r="AB222" s="301"/>
      <c r="AC222" s="301"/>
      <c r="AD222" s="302"/>
      <c r="AE222" s="302"/>
      <c r="AF222" s="302"/>
      <c r="AG222" s="302"/>
      <c r="AH222" s="302"/>
      <c r="AI222" s="302"/>
      <c r="AJ222" s="302"/>
      <c r="AK222" s="302"/>
      <c r="AL222" s="302"/>
      <c r="AM222" s="302"/>
      <c r="AN222" s="302"/>
      <c r="AO222" s="302"/>
      <c r="BB222" s="57"/>
      <c r="BC222" s="57"/>
      <c r="BD222" s="57"/>
      <c r="BE222" s="58"/>
      <c r="BF222" s="58"/>
      <c r="BG222" s="58"/>
      <c r="BH222" s="58"/>
    </row>
    <row r="223" spans="1:60" s="51" customFormat="1">
      <c r="A223" s="50"/>
      <c r="D223" s="52"/>
      <c r="E223" s="53"/>
      <c r="F223" s="300"/>
      <c r="G223" s="54"/>
      <c r="I223" s="55"/>
      <c r="O223" s="56"/>
      <c r="P223" s="56"/>
      <c r="R223" s="301"/>
      <c r="S223" s="301"/>
      <c r="T223" s="301"/>
      <c r="U223" s="301"/>
      <c r="V223" s="301"/>
      <c r="W223" s="301"/>
      <c r="X223" s="301"/>
      <c r="Y223" s="301"/>
      <c r="Z223" s="301"/>
      <c r="AA223" s="301"/>
      <c r="AB223" s="301"/>
      <c r="AC223" s="301"/>
      <c r="AD223" s="302"/>
      <c r="AE223" s="302"/>
      <c r="AF223" s="302"/>
      <c r="AG223" s="302"/>
      <c r="AH223" s="302"/>
      <c r="AI223" s="302"/>
      <c r="AJ223" s="302"/>
      <c r="AK223" s="302"/>
      <c r="AL223" s="302"/>
      <c r="AM223" s="302"/>
      <c r="AN223" s="302"/>
      <c r="AO223" s="302"/>
      <c r="BB223" s="57"/>
      <c r="BC223" s="57"/>
      <c r="BD223" s="57"/>
      <c r="BE223" s="58"/>
      <c r="BF223" s="58"/>
      <c r="BG223" s="58"/>
      <c r="BH223" s="58"/>
    </row>
    <row r="224" spans="1:60" s="51" customFormat="1">
      <c r="A224" s="50"/>
      <c r="D224" s="52"/>
      <c r="E224" s="53"/>
      <c r="F224" s="300"/>
      <c r="G224" s="54"/>
      <c r="I224" s="55"/>
      <c r="O224" s="56"/>
      <c r="P224" s="56"/>
      <c r="R224" s="301"/>
      <c r="S224" s="301"/>
      <c r="T224" s="301"/>
      <c r="U224" s="301"/>
      <c r="V224" s="301"/>
      <c r="W224" s="301"/>
      <c r="X224" s="301"/>
      <c r="Y224" s="301"/>
      <c r="Z224" s="301"/>
      <c r="AA224" s="301"/>
      <c r="AB224" s="301"/>
      <c r="AC224" s="301"/>
      <c r="AD224" s="302"/>
      <c r="AE224" s="302"/>
      <c r="AF224" s="302"/>
      <c r="AG224" s="302"/>
      <c r="AH224" s="302"/>
      <c r="AI224" s="302"/>
      <c r="AJ224" s="302"/>
      <c r="AK224" s="302"/>
      <c r="AL224" s="302"/>
      <c r="AM224" s="302"/>
      <c r="AN224" s="302"/>
      <c r="AO224" s="302"/>
      <c r="BB224" s="57"/>
      <c r="BC224" s="57"/>
      <c r="BD224" s="57"/>
      <c r="BE224" s="58"/>
      <c r="BF224" s="58"/>
      <c r="BG224" s="58"/>
      <c r="BH224" s="58"/>
    </row>
    <row r="225" spans="1:60" s="51" customFormat="1">
      <c r="A225" s="50"/>
      <c r="D225" s="52"/>
      <c r="E225" s="53"/>
      <c r="F225" s="300"/>
      <c r="G225" s="54"/>
      <c r="I225" s="55"/>
      <c r="O225" s="56"/>
      <c r="P225" s="56"/>
      <c r="R225" s="301"/>
      <c r="S225" s="301"/>
      <c r="T225" s="301"/>
      <c r="U225" s="301"/>
      <c r="V225" s="301"/>
      <c r="W225" s="301"/>
      <c r="X225" s="301"/>
      <c r="Y225" s="301"/>
      <c r="Z225" s="301"/>
      <c r="AA225" s="301"/>
      <c r="AB225" s="301"/>
      <c r="AC225" s="301"/>
      <c r="AD225" s="302"/>
      <c r="AE225" s="302"/>
      <c r="AF225" s="302"/>
      <c r="AG225" s="302"/>
      <c r="AH225" s="302"/>
      <c r="AI225" s="302"/>
      <c r="AJ225" s="302"/>
      <c r="AK225" s="302"/>
      <c r="AL225" s="302"/>
      <c r="AM225" s="302"/>
      <c r="AN225" s="302"/>
      <c r="AO225" s="302"/>
      <c r="BB225" s="57"/>
      <c r="BC225" s="57"/>
      <c r="BD225" s="57"/>
      <c r="BE225" s="58"/>
      <c r="BF225" s="58"/>
      <c r="BG225" s="58"/>
      <c r="BH225" s="58"/>
    </row>
    <row r="226" spans="1:60" s="51" customFormat="1">
      <c r="A226" s="50"/>
      <c r="D226" s="52"/>
      <c r="E226" s="53"/>
      <c r="F226" s="300"/>
      <c r="G226" s="54"/>
      <c r="I226" s="55"/>
      <c r="O226" s="56"/>
      <c r="P226" s="56"/>
      <c r="R226" s="301"/>
      <c r="S226" s="301"/>
      <c r="T226" s="301"/>
      <c r="U226" s="301"/>
      <c r="V226" s="301"/>
      <c r="W226" s="301"/>
      <c r="X226" s="301"/>
      <c r="Y226" s="301"/>
      <c r="Z226" s="301"/>
      <c r="AA226" s="301"/>
      <c r="AB226" s="301"/>
      <c r="AC226" s="301"/>
      <c r="AD226" s="302"/>
      <c r="AE226" s="302"/>
      <c r="AF226" s="302"/>
      <c r="AG226" s="302"/>
      <c r="AH226" s="302"/>
      <c r="AI226" s="302"/>
      <c r="AJ226" s="302"/>
      <c r="AK226" s="302"/>
      <c r="AL226" s="302"/>
      <c r="AM226" s="302"/>
      <c r="AN226" s="302"/>
      <c r="AO226" s="302"/>
      <c r="BB226" s="57"/>
      <c r="BC226" s="57"/>
      <c r="BD226" s="57"/>
      <c r="BE226" s="58"/>
      <c r="BF226" s="58"/>
      <c r="BG226" s="58"/>
      <c r="BH226" s="58"/>
    </row>
    <row r="227" spans="1:60" s="51" customFormat="1">
      <c r="A227" s="50"/>
      <c r="D227" s="52"/>
      <c r="E227" s="53"/>
      <c r="F227" s="300"/>
      <c r="G227" s="54"/>
      <c r="I227" s="55"/>
      <c r="O227" s="56"/>
      <c r="P227" s="56"/>
      <c r="R227" s="301"/>
      <c r="S227" s="301"/>
      <c r="T227" s="301"/>
      <c r="U227" s="301"/>
      <c r="V227" s="301"/>
      <c r="W227" s="301"/>
      <c r="X227" s="301"/>
      <c r="Y227" s="301"/>
      <c r="Z227" s="301"/>
      <c r="AA227" s="301"/>
      <c r="AB227" s="301"/>
      <c r="AC227" s="301"/>
      <c r="AD227" s="302"/>
      <c r="AE227" s="302"/>
      <c r="AF227" s="302"/>
      <c r="AG227" s="302"/>
      <c r="AH227" s="302"/>
      <c r="AI227" s="302"/>
      <c r="AJ227" s="302"/>
      <c r="AK227" s="302"/>
      <c r="AL227" s="302"/>
      <c r="AM227" s="302"/>
      <c r="AN227" s="302"/>
      <c r="AO227" s="302"/>
      <c r="BB227" s="57"/>
      <c r="BC227" s="57"/>
      <c r="BD227" s="57"/>
      <c r="BE227" s="58"/>
      <c r="BF227" s="58"/>
      <c r="BG227" s="58"/>
      <c r="BH227" s="58"/>
    </row>
    <row r="228" spans="1:60" s="51" customFormat="1">
      <c r="A228" s="50"/>
      <c r="D228" s="52"/>
      <c r="E228" s="53"/>
      <c r="F228" s="300"/>
      <c r="G228" s="54"/>
      <c r="I228" s="55"/>
      <c r="O228" s="56"/>
      <c r="P228" s="56"/>
      <c r="R228" s="301"/>
      <c r="S228" s="301"/>
      <c r="T228" s="301"/>
      <c r="U228" s="301"/>
      <c r="V228" s="301"/>
      <c r="W228" s="301"/>
      <c r="X228" s="301"/>
      <c r="Y228" s="301"/>
      <c r="Z228" s="301"/>
      <c r="AA228" s="301"/>
      <c r="AB228" s="301"/>
      <c r="AC228" s="301"/>
      <c r="AD228" s="302"/>
      <c r="AE228" s="302"/>
      <c r="AF228" s="302"/>
      <c r="AG228" s="302"/>
      <c r="AH228" s="302"/>
      <c r="AI228" s="302"/>
      <c r="AJ228" s="302"/>
      <c r="AK228" s="302"/>
      <c r="AL228" s="302"/>
      <c r="AM228" s="302"/>
      <c r="AN228" s="302"/>
      <c r="AO228" s="302"/>
      <c r="BB228" s="57"/>
      <c r="BC228" s="57"/>
      <c r="BD228" s="57"/>
      <c r="BE228" s="58"/>
      <c r="BF228" s="58"/>
      <c r="BG228" s="58"/>
      <c r="BH228" s="58"/>
    </row>
    <row r="229" spans="1:60" s="51" customFormat="1">
      <c r="A229" s="50"/>
      <c r="D229" s="52"/>
      <c r="E229" s="53"/>
      <c r="F229" s="300"/>
      <c r="G229" s="54"/>
      <c r="I229" s="55"/>
      <c r="O229" s="56"/>
      <c r="P229" s="56"/>
      <c r="R229" s="301"/>
      <c r="S229" s="301"/>
      <c r="T229" s="301"/>
      <c r="U229" s="301"/>
      <c r="V229" s="301"/>
      <c r="W229" s="301"/>
      <c r="X229" s="301"/>
      <c r="Y229" s="301"/>
      <c r="Z229" s="301"/>
      <c r="AA229" s="301"/>
      <c r="AB229" s="301"/>
      <c r="AC229" s="301"/>
      <c r="AD229" s="302"/>
      <c r="AE229" s="302"/>
      <c r="AF229" s="302"/>
      <c r="AG229" s="302"/>
      <c r="AH229" s="302"/>
      <c r="AI229" s="302"/>
      <c r="AJ229" s="302"/>
      <c r="AK229" s="302"/>
      <c r="AL229" s="302"/>
      <c r="AM229" s="302"/>
      <c r="AN229" s="302"/>
      <c r="AO229" s="302"/>
      <c r="BB229" s="57"/>
      <c r="BC229" s="57"/>
      <c r="BD229" s="57"/>
      <c r="BE229" s="58"/>
      <c r="BF229" s="58"/>
      <c r="BG229" s="58"/>
      <c r="BH229" s="58"/>
    </row>
    <row r="230" spans="1:60" s="51" customFormat="1">
      <c r="A230" s="50"/>
      <c r="D230" s="52"/>
      <c r="E230" s="53"/>
      <c r="F230" s="300"/>
      <c r="G230" s="54"/>
      <c r="I230" s="55"/>
      <c r="O230" s="56"/>
      <c r="P230" s="56"/>
      <c r="R230" s="301"/>
      <c r="S230" s="301"/>
      <c r="T230" s="301"/>
      <c r="U230" s="301"/>
      <c r="V230" s="301"/>
      <c r="W230" s="301"/>
      <c r="X230" s="301"/>
      <c r="Y230" s="301"/>
      <c r="Z230" s="301"/>
      <c r="AA230" s="301"/>
      <c r="AB230" s="301"/>
      <c r="AC230" s="301"/>
      <c r="AD230" s="302"/>
      <c r="AE230" s="302"/>
      <c r="AF230" s="302"/>
      <c r="AG230" s="302"/>
      <c r="AH230" s="302"/>
      <c r="AI230" s="302"/>
      <c r="AJ230" s="302"/>
      <c r="AK230" s="302"/>
      <c r="AL230" s="302"/>
      <c r="AM230" s="302"/>
      <c r="AN230" s="302"/>
      <c r="AO230" s="302"/>
      <c r="BB230" s="57"/>
      <c r="BC230" s="57"/>
      <c r="BD230" s="57"/>
      <c r="BE230" s="58"/>
      <c r="BF230" s="58"/>
      <c r="BG230" s="58"/>
      <c r="BH230" s="58"/>
    </row>
    <row r="231" spans="1:60" s="51" customFormat="1">
      <c r="A231" s="50"/>
      <c r="D231" s="52"/>
      <c r="E231" s="53"/>
      <c r="F231" s="300"/>
      <c r="G231" s="54"/>
      <c r="I231" s="55"/>
      <c r="O231" s="56"/>
      <c r="P231" s="56"/>
      <c r="R231" s="301"/>
      <c r="S231" s="301"/>
      <c r="T231" s="301"/>
      <c r="U231" s="301"/>
      <c r="V231" s="301"/>
      <c r="W231" s="301"/>
      <c r="X231" s="301"/>
      <c r="Y231" s="301"/>
      <c r="Z231" s="301"/>
      <c r="AA231" s="301"/>
      <c r="AB231" s="301"/>
      <c r="AC231" s="301"/>
      <c r="AD231" s="302"/>
      <c r="AE231" s="302"/>
      <c r="AF231" s="302"/>
      <c r="AG231" s="302"/>
      <c r="AH231" s="302"/>
      <c r="AI231" s="302"/>
      <c r="AJ231" s="302"/>
      <c r="AK231" s="302"/>
      <c r="AL231" s="302"/>
      <c r="AM231" s="302"/>
      <c r="AN231" s="302"/>
      <c r="AO231" s="302"/>
      <c r="BB231" s="57"/>
      <c r="BC231" s="57"/>
      <c r="BD231" s="57"/>
      <c r="BE231" s="58"/>
      <c r="BF231" s="58"/>
      <c r="BG231" s="58"/>
      <c r="BH231" s="58"/>
    </row>
    <row r="232" spans="1:60" s="51" customFormat="1">
      <c r="A232" s="50"/>
      <c r="D232" s="52"/>
      <c r="E232" s="53"/>
      <c r="F232" s="300"/>
      <c r="G232" s="54"/>
      <c r="I232" s="55"/>
      <c r="O232" s="56"/>
      <c r="P232" s="56"/>
      <c r="R232" s="301"/>
      <c r="S232" s="301"/>
      <c r="T232" s="301"/>
      <c r="U232" s="301"/>
      <c r="V232" s="301"/>
      <c r="W232" s="301"/>
      <c r="X232" s="301"/>
      <c r="Y232" s="301"/>
      <c r="Z232" s="301"/>
      <c r="AA232" s="301"/>
      <c r="AB232" s="301"/>
      <c r="AC232" s="301"/>
      <c r="AD232" s="302"/>
      <c r="AE232" s="302"/>
      <c r="AF232" s="302"/>
      <c r="AG232" s="302"/>
      <c r="AH232" s="302"/>
      <c r="AI232" s="302"/>
      <c r="AJ232" s="302"/>
      <c r="AK232" s="302"/>
      <c r="AL232" s="302"/>
      <c r="AM232" s="302"/>
      <c r="AN232" s="302"/>
      <c r="AO232" s="302"/>
      <c r="BB232" s="57"/>
      <c r="BC232" s="57"/>
      <c r="BD232" s="57"/>
      <c r="BE232" s="58"/>
      <c r="BF232" s="58"/>
      <c r="BG232" s="58"/>
      <c r="BH232" s="58"/>
    </row>
    <row r="233" spans="1:60" s="51" customFormat="1">
      <c r="A233" s="50"/>
      <c r="D233" s="52"/>
      <c r="E233" s="53"/>
      <c r="F233" s="300"/>
      <c r="G233" s="54"/>
      <c r="I233" s="55"/>
      <c r="O233" s="56"/>
      <c r="P233" s="56"/>
      <c r="R233" s="301"/>
      <c r="S233" s="301"/>
      <c r="T233" s="301"/>
      <c r="U233" s="301"/>
      <c r="V233" s="301"/>
      <c r="W233" s="301"/>
      <c r="X233" s="301"/>
      <c r="Y233" s="301"/>
      <c r="Z233" s="301"/>
      <c r="AA233" s="301"/>
      <c r="AB233" s="301"/>
      <c r="AC233" s="301"/>
      <c r="AD233" s="302"/>
      <c r="AE233" s="302"/>
      <c r="AF233" s="302"/>
      <c r="AG233" s="302"/>
      <c r="AH233" s="302"/>
      <c r="AI233" s="302"/>
      <c r="AJ233" s="302"/>
      <c r="AK233" s="302"/>
      <c r="AL233" s="302"/>
      <c r="AM233" s="302"/>
      <c r="AN233" s="302"/>
      <c r="AO233" s="302"/>
      <c r="BB233" s="57"/>
      <c r="BC233" s="57"/>
      <c r="BD233" s="57"/>
      <c r="BE233" s="58"/>
      <c r="BF233" s="58"/>
      <c r="BG233" s="58"/>
      <c r="BH233" s="58"/>
    </row>
    <row r="234" spans="1:60" s="51" customFormat="1">
      <c r="A234" s="50"/>
      <c r="D234" s="52"/>
      <c r="E234" s="53"/>
      <c r="F234" s="300"/>
      <c r="G234" s="54"/>
      <c r="I234" s="55"/>
      <c r="O234" s="56"/>
      <c r="P234" s="56"/>
      <c r="R234" s="301"/>
      <c r="S234" s="301"/>
      <c r="T234" s="301"/>
      <c r="U234" s="301"/>
      <c r="V234" s="301"/>
      <c r="W234" s="301"/>
      <c r="X234" s="301"/>
      <c r="Y234" s="301"/>
      <c r="Z234" s="301"/>
      <c r="AA234" s="301"/>
      <c r="AB234" s="301"/>
      <c r="AC234" s="301"/>
      <c r="AD234" s="302"/>
      <c r="AE234" s="302"/>
      <c r="AF234" s="302"/>
      <c r="AG234" s="302"/>
      <c r="AH234" s="302"/>
      <c r="AI234" s="302"/>
      <c r="AJ234" s="302"/>
      <c r="AK234" s="302"/>
      <c r="AL234" s="302"/>
      <c r="AM234" s="302"/>
      <c r="AN234" s="302"/>
      <c r="AO234" s="302"/>
      <c r="BB234" s="57"/>
      <c r="BC234" s="57"/>
      <c r="BD234" s="57"/>
      <c r="BE234" s="58"/>
      <c r="BF234" s="58"/>
      <c r="BG234" s="58"/>
      <c r="BH234" s="58"/>
    </row>
    <row r="235" spans="1:60" s="51" customFormat="1">
      <c r="A235" s="50"/>
      <c r="D235" s="52"/>
      <c r="E235" s="53"/>
      <c r="F235" s="300"/>
      <c r="G235" s="54"/>
      <c r="I235" s="55"/>
      <c r="O235" s="56"/>
      <c r="P235" s="56"/>
      <c r="R235" s="301"/>
      <c r="S235" s="301"/>
      <c r="T235" s="301"/>
      <c r="U235" s="301"/>
      <c r="V235" s="301"/>
      <c r="W235" s="301"/>
      <c r="X235" s="301"/>
      <c r="Y235" s="301"/>
      <c r="Z235" s="301"/>
      <c r="AA235" s="301"/>
      <c r="AB235" s="301"/>
      <c r="AC235" s="301"/>
      <c r="AD235" s="302"/>
      <c r="AE235" s="302"/>
      <c r="AF235" s="302"/>
      <c r="AG235" s="302"/>
      <c r="AH235" s="302"/>
      <c r="AI235" s="302"/>
      <c r="AJ235" s="302"/>
      <c r="AK235" s="302"/>
      <c r="AL235" s="302"/>
      <c r="AM235" s="302"/>
      <c r="AN235" s="302"/>
      <c r="AO235" s="302"/>
      <c r="BB235" s="57"/>
      <c r="BC235" s="57"/>
      <c r="BD235" s="57"/>
      <c r="BE235" s="58"/>
      <c r="BF235" s="58"/>
      <c r="BG235" s="58"/>
      <c r="BH235" s="58"/>
    </row>
    <row r="236" spans="1:60" s="51" customFormat="1">
      <c r="A236" s="50"/>
      <c r="D236" s="52"/>
      <c r="E236" s="53"/>
      <c r="F236" s="300"/>
      <c r="G236" s="54"/>
      <c r="I236" s="55"/>
      <c r="O236" s="56"/>
      <c r="P236" s="56"/>
      <c r="R236" s="301"/>
      <c r="S236" s="301"/>
      <c r="T236" s="301"/>
      <c r="U236" s="301"/>
      <c r="V236" s="301"/>
      <c r="W236" s="301"/>
      <c r="X236" s="301"/>
      <c r="Y236" s="301"/>
      <c r="Z236" s="301"/>
      <c r="AA236" s="301"/>
      <c r="AB236" s="301"/>
      <c r="AC236" s="301"/>
      <c r="AD236" s="302"/>
      <c r="AE236" s="302"/>
      <c r="AF236" s="302"/>
      <c r="AG236" s="302"/>
      <c r="AH236" s="302"/>
      <c r="AI236" s="302"/>
      <c r="AJ236" s="302"/>
      <c r="AK236" s="302"/>
      <c r="AL236" s="302"/>
      <c r="AM236" s="302"/>
      <c r="AN236" s="302"/>
      <c r="AO236" s="302"/>
      <c r="BB236" s="57"/>
      <c r="BC236" s="57"/>
      <c r="BD236" s="57"/>
      <c r="BE236" s="58"/>
      <c r="BF236" s="58"/>
      <c r="BG236" s="58"/>
      <c r="BH236" s="58"/>
    </row>
    <row r="237" spans="1:60" s="51" customFormat="1">
      <c r="A237" s="50"/>
      <c r="D237" s="52"/>
      <c r="E237" s="53"/>
      <c r="F237" s="300"/>
      <c r="G237" s="54"/>
      <c r="I237" s="55"/>
      <c r="O237" s="56"/>
      <c r="P237" s="56"/>
      <c r="R237" s="301"/>
      <c r="S237" s="301"/>
      <c r="T237" s="301"/>
      <c r="U237" s="301"/>
      <c r="V237" s="301"/>
      <c r="W237" s="301"/>
      <c r="X237" s="301"/>
      <c r="Y237" s="301"/>
      <c r="Z237" s="301"/>
      <c r="AA237" s="301"/>
      <c r="AB237" s="301"/>
      <c r="AC237" s="301"/>
      <c r="AD237" s="302"/>
      <c r="AE237" s="302"/>
      <c r="AF237" s="302"/>
      <c r="AG237" s="302"/>
      <c r="AH237" s="302"/>
      <c r="AI237" s="302"/>
      <c r="AJ237" s="302"/>
      <c r="AK237" s="302"/>
      <c r="AL237" s="302"/>
      <c r="AM237" s="302"/>
      <c r="AN237" s="302"/>
      <c r="AO237" s="302"/>
      <c r="BB237" s="57"/>
      <c r="BC237" s="57"/>
      <c r="BD237" s="57"/>
      <c r="BE237" s="58"/>
      <c r="BF237" s="58"/>
      <c r="BG237" s="58"/>
      <c r="BH237" s="58"/>
    </row>
    <row r="238" spans="1:60" s="51" customFormat="1">
      <c r="A238" s="50"/>
      <c r="D238" s="52"/>
      <c r="E238" s="53"/>
      <c r="F238" s="300"/>
      <c r="G238" s="54"/>
      <c r="I238" s="55"/>
      <c r="O238" s="56"/>
      <c r="P238" s="56"/>
      <c r="R238" s="301"/>
      <c r="S238" s="301"/>
      <c r="T238" s="301"/>
      <c r="U238" s="301"/>
      <c r="V238" s="301"/>
      <c r="W238" s="301"/>
      <c r="X238" s="301"/>
      <c r="Y238" s="301"/>
      <c r="Z238" s="301"/>
      <c r="AA238" s="301"/>
      <c r="AB238" s="301"/>
      <c r="AC238" s="301"/>
      <c r="AD238" s="302"/>
      <c r="AE238" s="302"/>
      <c r="AF238" s="302"/>
      <c r="AG238" s="302"/>
      <c r="AH238" s="302"/>
      <c r="AI238" s="302"/>
      <c r="AJ238" s="302"/>
      <c r="AK238" s="302"/>
      <c r="AL238" s="302"/>
      <c r="AM238" s="302"/>
      <c r="AN238" s="302"/>
      <c r="AO238" s="302"/>
      <c r="BB238" s="57"/>
      <c r="BC238" s="57"/>
      <c r="BD238" s="57"/>
      <c r="BE238" s="58"/>
      <c r="BF238" s="58"/>
      <c r="BG238" s="58"/>
      <c r="BH238" s="58"/>
    </row>
    <row r="239" spans="1:60" s="51" customFormat="1">
      <c r="A239" s="50"/>
      <c r="D239" s="52"/>
      <c r="E239" s="53"/>
      <c r="F239" s="300"/>
      <c r="G239" s="54"/>
      <c r="I239" s="55"/>
      <c r="O239" s="56"/>
      <c r="P239" s="56"/>
      <c r="R239" s="301"/>
      <c r="S239" s="301"/>
      <c r="T239" s="301"/>
      <c r="U239" s="301"/>
      <c r="V239" s="301"/>
      <c r="W239" s="301"/>
      <c r="X239" s="301"/>
      <c r="Y239" s="301"/>
      <c r="Z239" s="301"/>
      <c r="AA239" s="301"/>
      <c r="AB239" s="301"/>
      <c r="AC239" s="301"/>
      <c r="AD239" s="302"/>
      <c r="AE239" s="302"/>
      <c r="AF239" s="302"/>
      <c r="AG239" s="302"/>
      <c r="AH239" s="302"/>
      <c r="AI239" s="302"/>
      <c r="AJ239" s="302"/>
      <c r="AK239" s="302"/>
      <c r="AL239" s="302"/>
      <c r="AM239" s="302"/>
      <c r="AN239" s="302"/>
      <c r="AO239" s="302"/>
      <c r="BB239" s="57"/>
      <c r="BC239" s="57"/>
      <c r="BD239" s="57"/>
      <c r="BE239" s="58"/>
      <c r="BF239" s="58"/>
      <c r="BG239" s="58"/>
      <c r="BH239" s="58"/>
    </row>
    <row r="240" spans="1:60" s="51" customFormat="1">
      <c r="A240" s="50"/>
      <c r="D240" s="52"/>
      <c r="E240" s="53"/>
      <c r="F240" s="300"/>
      <c r="G240" s="54"/>
      <c r="I240" s="55"/>
      <c r="O240" s="56"/>
      <c r="P240" s="56"/>
      <c r="R240" s="301"/>
      <c r="S240" s="301"/>
      <c r="T240" s="301"/>
      <c r="U240" s="301"/>
      <c r="V240" s="301"/>
      <c r="W240" s="301"/>
      <c r="X240" s="301"/>
      <c r="Y240" s="301"/>
      <c r="Z240" s="301"/>
      <c r="AA240" s="301"/>
      <c r="AB240" s="301"/>
      <c r="AC240" s="301"/>
      <c r="AD240" s="302"/>
      <c r="AE240" s="302"/>
      <c r="AF240" s="302"/>
      <c r="AG240" s="302"/>
      <c r="AH240" s="302"/>
      <c r="AI240" s="302"/>
      <c r="AJ240" s="302"/>
      <c r="AK240" s="302"/>
      <c r="AL240" s="302"/>
      <c r="AM240" s="302"/>
      <c r="AN240" s="302"/>
      <c r="AO240" s="302"/>
      <c r="BB240" s="57"/>
      <c r="BC240" s="57"/>
      <c r="BD240" s="57"/>
      <c r="BE240" s="58"/>
      <c r="BF240" s="58"/>
      <c r="BG240" s="58"/>
      <c r="BH240" s="58"/>
    </row>
    <row r="241" spans="1:60" s="51" customFormat="1">
      <c r="A241" s="50"/>
      <c r="D241" s="52"/>
      <c r="E241" s="53"/>
      <c r="F241" s="300"/>
      <c r="G241" s="54"/>
      <c r="I241" s="55"/>
      <c r="O241" s="56"/>
      <c r="P241" s="56"/>
      <c r="R241" s="301"/>
      <c r="S241" s="301"/>
      <c r="T241" s="301"/>
      <c r="U241" s="301"/>
      <c r="V241" s="301"/>
      <c r="W241" s="301"/>
      <c r="X241" s="301"/>
      <c r="Y241" s="301"/>
      <c r="Z241" s="301"/>
      <c r="AA241" s="301"/>
      <c r="AB241" s="301"/>
      <c r="AC241" s="301"/>
      <c r="AD241" s="302"/>
      <c r="AE241" s="302"/>
      <c r="AF241" s="302"/>
      <c r="AG241" s="302"/>
      <c r="AH241" s="302"/>
      <c r="AI241" s="302"/>
      <c r="AJ241" s="302"/>
      <c r="AK241" s="302"/>
      <c r="AL241" s="302"/>
      <c r="AM241" s="302"/>
      <c r="AN241" s="302"/>
      <c r="AO241" s="302"/>
      <c r="BB241" s="57"/>
      <c r="BC241" s="57"/>
      <c r="BD241" s="57"/>
      <c r="BE241" s="58"/>
      <c r="BF241" s="58"/>
      <c r="BG241" s="58"/>
      <c r="BH241" s="58"/>
    </row>
    <row r="242" spans="1:60" s="51" customFormat="1">
      <c r="A242" s="50"/>
      <c r="D242" s="52"/>
      <c r="E242" s="53"/>
      <c r="F242" s="300"/>
      <c r="G242" s="54"/>
      <c r="I242" s="55"/>
      <c r="O242" s="56"/>
      <c r="P242" s="56"/>
      <c r="R242" s="301"/>
      <c r="S242" s="301"/>
      <c r="T242" s="301"/>
      <c r="U242" s="301"/>
      <c r="V242" s="301"/>
      <c r="W242" s="301"/>
      <c r="X242" s="301"/>
      <c r="Y242" s="301"/>
      <c r="Z242" s="301"/>
      <c r="AA242" s="301"/>
      <c r="AB242" s="301"/>
      <c r="AC242" s="301"/>
      <c r="AD242" s="302"/>
      <c r="AE242" s="302"/>
      <c r="AF242" s="302"/>
      <c r="AG242" s="302"/>
      <c r="AH242" s="302"/>
      <c r="AI242" s="302"/>
      <c r="AJ242" s="302"/>
      <c r="AK242" s="302"/>
      <c r="AL242" s="302"/>
      <c r="AM242" s="302"/>
      <c r="AN242" s="302"/>
      <c r="AO242" s="302"/>
      <c r="BB242" s="57"/>
      <c r="BC242" s="57"/>
      <c r="BD242" s="57"/>
      <c r="BE242" s="58"/>
      <c r="BF242" s="58"/>
      <c r="BG242" s="58"/>
      <c r="BH242" s="58"/>
    </row>
    <row r="243" spans="1:60" s="51" customFormat="1">
      <c r="A243" s="50"/>
      <c r="D243" s="52"/>
      <c r="E243" s="53"/>
      <c r="F243" s="300"/>
      <c r="G243" s="54"/>
      <c r="I243" s="55"/>
      <c r="O243" s="56"/>
      <c r="P243" s="56"/>
      <c r="R243" s="301"/>
      <c r="S243" s="301"/>
      <c r="T243" s="301"/>
      <c r="U243" s="301"/>
      <c r="V243" s="301"/>
      <c r="W243" s="301"/>
      <c r="X243" s="301"/>
      <c r="Y243" s="301"/>
      <c r="Z243" s="301"/>
      <c r="AA243" s="301"/>
      <c r="AB243" s="301"/>
      <c r="AC243" s="301"/>
      <c r="AD243" s="302"/>
      <c r="AE243" s="302"/>
      <c r="AF243" s="302"/>
      <c r="AG243" s="302"/>
      <c r="AH243" s="302"/>
      <c r="AI243" s="302"/>
      <c r="AJ243" s="302"/>
      <c r="AK243" s="302"/>
      <c r="AL243" s="302"/>
      <c r="AM243" s="302"/>
      <c r="AN243" s="302"/>
      <c r="AO243" s="302"/>
      <c r="BB243" s="57"/>
      <c r="BC243" s="57"/>
      <c r="BD243" s="57"/>
      <c r="BE243" s="58"/>
      <c r="BF243" s="58"/>
      <c r="BG243" s="58"/>
      <c r="BH243" s="58"/>
    </row>
    <row r="244" spans="1:60" s="51" customFormat="1">
      <c r="A244" s="50"/>
      <c r="D244" s="52"/>
      <c r="E244" s="53"/>
      <c r="F244" s="300"/>
      <c r="G244" s="54"/>
      <c r="I244" s="55"/>
      <c r="O244" s="56"/>
      <c r="P244" s="56"/>
      <c r="R244" s="301"/>
      <c r="S244" s="301"/>
      <c r="T244" s="301"/>
      <c r="U244" s="301"/>
      <c r="V244" s="301"/>
      <c r="W244" s="301"/>
      <c r="X244" s="301"/>
      <c r="Y244" s="301"/>
      <c r="Z244" s="301"/>
      <c r="AA244" s="301"/>
      <c r="AB244" s="301"/>
      <c r="AC244" s="301"/>
      <c r="AD244" s="302"/>
      <c r="AE244" s="302"/>
      <c r="AF244" s="302"/>
      <c r="AG244" s="302"/>
      <c r="AH244" s="302"/>
      <c r="AI244" s="302"/>
      <c r="AJ244" s="302"/>
      <c r="AK244" s="302"/>
      <c r="AL244" s="302"/>
      <c r="AM244" s="302"/>
      <c r="AN244" s="302"/>
      <c r="AO244" s="302"/>
      <c r="BB244" s="57"/>
      <c r="BC244" s="57"/>
      <c r="BD244" s="57"/>
      <c r="BE244" s="58"/>
      <c r="BF244" s="58"/>
      <c r="BG244" s="58"/>
      <c r="BH244" s="58"/>
    </row>
    <row r="245" spans="1:60" s="51" customFormat="1">
      <c r="A245" s="50"/>
      <c r="D245" s="52"/>
      <c r="E245" s="53"/>
      <c r="F245" s="300"/>
      <c r="G245" s="54"/>
      <c r="I245" s="55"/>
      <c r="O245" s="56"/>
      <c r="P245" s="56"/>
      <c r="R245" s="301"/>
      <c r="S245" s="301"/>
      <c r="T245" s="301"/>
      <c r="U245" s="301"/>
      <c r="V245" s="301"/>
      <c r="W245" s="301"/>
      <c r="X245" s="301"/>
      <c r="Y245" s="301"/>
      <c r="Z245" s="301"/>
      <c r="AA245" s="301"/>
      <c r="AB245" s="301"/>
      <c r="AC245" s="301"/>
      <c r="AD245" s="302"/>
      <c r="AE245" s="302"/>
      <c r="AF245" s="302"/>
      <c r="AG245" s="302"/>
      <c r="AH245" s="302"/>
      <c r="AI245" s="302"/>
      <c r="AJ245" s="302"/>
      <c r="AK245" s="302"/>
      <c r="AL245" s="302"/>
      <c r="AM245" s="302"/>
      <c r="AN245" s="302"/>
      <c r="AO245" s="302"/>
      <c r="BB245" s="57"/>
      <c r="BC245" s="57"/>
      <c r="BD245" s="57"/>
      <c r="BE245" s="58"/>
      <c r="BF245" s="58"/>
      <c r="BG245" s="58"/>
      <c r="BH245" s="58"/>
    </row>
    <row r="246" spans="1:60" s="51" customFormat="1">
      <c r="A246" s="50"/>
      <c r="D246" s="52"/>
      <c r="E246" s="53"/>
      <c r="F246" s="300"/>
      <c r="G246" s="54"/>
      <c r="I246" s="55"/>
      <c r="O246" s="56"/>
      <c r="P246" s="56"/>
      <c r="R246" s="301"/>
      <c r="S246" s="301"/>
      <c r="T246" s="301"/>
      <c r="U246" s="301"/>
      <c r="V246" s="301"/>
      <c r="W246" s="301"/>
      <c r="X246" s="301"/>
      <c r="Y246" s="301"/>
      <c r="Z246" s="301"/>
      <c r="AA246" s="301"/>
      <c r="AB246" s="301"/>
      <c r="AC246" s="301"/>
      <c r="AD246" s="302"/>
      <c r="AE246" s="302"/>
      <c r="AF246" s="302"/>
      <c r="AG246" s="302"/>
      <c r="AH246" s="302"/>
      <c r="AI246" s="302"/>
      <c r="AJ246" s="302"/>
      <c r="AK246" s="302"/>
      <c r="AL246" s="302"/>
      <c r="AM246" s="302"/>
      <c r="AN246" s="302"/>
      <c r="AO246" s="302"/>
      <c r="BB246" s="57"/>
      <c r="BC246" s="57"/>
      <c r="BD246" s="57"/>
      <c r="BE246" s="58"/>
      <c r="BF246" s="58"/>
      <c r="BG246" s="58"/>
      <c r="BH246" s="58"/>
    </row>
    <row r="247" spans="1:60" s="51" customFormat="1">
      <c r="A247" s="50"/>
      <c r="D247" s="52"/>
      <c r="E247" s="53"/>
      <c r="F247" s="300"/>
      <c r="G247" s="54"/>
      <c r="I247" s="55"/>
      <c r="O247" s="56"/>
      <c r="P247" s="56"/>
      <c r="R247" s="301"/>
      <c r="S247" s="301"/>
      <c r="T247" s="301"/>
      <c r="U247" s="301"/>
      <c r="V247" s="301"/>
      <c r="W247" s="301"/>
      <c r="X247" s="301"/>
      <c r="Y247" s="301"/>
      <c r="Z247" s="301"/>
      <c r="AA247" s="301"/>
      <c r="AB247" s="301"/>
      <c r="AC247" s="301"/>
      <c r="AD247" s="302"/>
      <c r="AE247" s="302"/>
      <c r="AF247" s="302"/>
      <c r="AG247" s="302"/>
      <c r="AH247" s="302"/>
      <c r="AI247" s="302"/>
      <c r="AJ247" s="302"/>
      <c r="AK247" s="302"/>
      <c r="AL247" s="302"/>
      <c r="AM247" s="302"/>
      <c r="AN247" s="302"/>
      <c r="AO247" s="302"/>
      <c r="BB247" s="57"/>
      <c r="BC247" s="57"/>
      <c r="BD247" s="57"/>
      <c r="BE247" s="58"/>
      <c r="BF247" s="58"/>
      <c r="BG247" s="58"/>
      <c r="BH247" s="58"/>
    </row>
    <row r="248" spans="1:60" s="51" customFormat="1">
      <c r="A248" s="50"/>
      <c r="D248" s="52"/>
      <c r="E248" s="53"/>
      <c r="F248" s="300"/>
      <c r="G248" s="54"/>
      <c r="I248" s="55"/>
      <c r="O248" s="56"/>
      <c r="P248" s="56"/>
      <c r="R248" s="301"/>
      <c r="S248" s="301"/>
      <c r="T248" s="301"/>
      <c r="U248" s="301"/>
      <c r="V248" s="301"/>
      <c r="W248" s="301"/>
      <c r="X248" s="301"/>
      <c r="Y248" s="301"/>
      <c r="Z248" s="301"/>
      <c r="AA248" s="301"/>
      <c r="AB248" s="301"/>
      <c r="AC248" s="301"/>
      <c r="AD248" s="302"/>
      <c r="AE248" s="302"/>
      <c r="AF248" s="302"/>
      <c r="AG248" s="302"/>
      <c r="AH248" s="302"/>
      <c r="AI248" s="302"/>
      <c r="AJ248" s="302"/>
      <c r="AK248" s="302"/>
      <c r="AL248" s="302"/>
      <c r="AM248" s="302"/>
      <c r="AN248" s="302"/>
      <c r="AO248" s="302"/>
      <c r="BB248" s="57"/>
      <c r="BC248" s="57"/>
      <c r="BD248" s="57"/>
      <c r="BE248" s="58"/>
      <c r="BF248" s="58"/>
      <c r="BG248" s="58"/>
      <c r="BH248" s="58"/>
    </row>
    <row r="249" spans="1:60" s="51" customFormat="1">
      <c r="A249" s="50"/>
      <c r="D249" s="52"/>
      <c r="E249" s="53"/>
      <c r="F249" s="300"/>
      <c r="G249" s="54"/>
      <c r="I249" s="55"/>
      <c r="O249" s="56"/>
      <c r="P249" s="56"/>
      <c r="R249" s="301"/>
      <c r="S249" s="301"/>
      <c r="T249" s="301"/>
      <c r="U249" s="301"/>
      <c r="V249" s="301"/>
      <c r="W249" s="301"/>
      <c r="X249" s="301"/>
      <c r="Y249" s="301"/>
      <c r="Z249" s="301"/>
      <c r="AA249" s="301"/>
      <c r="AB249" s="301"/>
      <c r="AC249" s="301"/>
      <c r="AD249" s="302"/>
      <c r="AE249" s="302"/>
      <c r="AF249" s="302"/>
      <c r="AG249" s="302"/>
      <c r="AH249" s="302"/>
      <c r="AI249" s="302"/>
      <c r="AJ249" s="302"/>
      <c r="AK249" s="302"/>
      <c r="AL249" s="302"/>
      <c r="AM249" s="302"/>
      <c r="AN249" s="302"/>
      <c r="AO249" s="302"/>
      <c r="BB249" s="57"/>
      <c r="BC249" s="57"/>
      <c r="BD249" s="57"/>
      <c r="BE249" s="58"/>
      <c r="BF249" s="58"/>
      <c r="BG249" s="58"/>
      <c r="BH249" s="58"/>
    </row>
    <row r="250" spans="1:60" s="51" customFormat="1">
      <c r="A250" s="50"/>
      <c r="D250" s="52"/>
      <c r="E250" s="53"/>
      <c r="F250" s="300"/>
      <c r="G250" s="54"/>
      <c r="I250" s="55"/>
      <c r="O250" s="56"/>
      <c r="P250" s="56"/>
      <c r="R250" s="301"/>
      <c r="S250" s="301"/>
      <c r="T250" s="301"/>
      <c r="U250" s="301"/>
      <c r="V250" s="301"/>
      <c r="W250" s="301"/>
      <c r="X250" s="301"/>
      <c r="Y250" s="301"/>
      <c r="Z250" s="301"/>
      <c r="AA250" s="301"/>
      <c r="AB250" s="301"/>
      <c r="AC250" s="301"/>
      <c r="AD250" s="302"/>
      <c r="AE250" s="302"/>
      <c r="AF250" s="302"/>
      <c r="AG250" s="302"/>
      <c r="AH250" s="302"/>
      <c r="AI250" s="302"/>
      <c r="AJ250" s="302"/>
      <c r="AK250" s="302"/>
      <c r="AL250" s="302"/>
      <c r="AM250" s="302"/>
      <c r="AN250" s="302"/>
      <c r="AO250" s="302"/>
      <c r="BB250" s="57"/>
      <c r="BC250" s="57"/>
      <c r="BD250" s="57"/>
      <c r="BE250" s="58"/>
      <c r="BF250" s="58"/>
      <c r="BG250" s="58"/>
      <c r="BH250" s="58"/>
    </row>
    <row r="251" spans="1:60">
      <c r="A251" s="50"/>
    </row>
  </sheetData>
  <sheetProtection formatCells="0" formatColumns="0" formatRows="0" insertColumns="0" insertRows="0" deleteColumns="0" deleteRows="0" sort="0"/>
  <sortState ref="A4:BI115">
    <sortCondition ref="D4:D115"/>
    <sortCondition ref="E4:E115"/>
  </sortState>
  <mergeCells count="16">
    <mergeCell ref="BB2:BC2"/>
    <mergeCell ref="R1:AC1"/>
    <mergeCell ref="AD1:AO1"/>
    <mergeCell ref="AP1:BA1"/>
    <mergeCell ref="R2:T2"/>
    <mergeCell ref="U2:W2"/>
    <mergeCell ref="X2:Z2"/>
    <mergeCell ref="AA2:AC2"/>
    <mergeCell ref="AD2:AF2"/>
    <mergeCell ref="AG2:AI2"/>
    <mergeCell ref="AJ2:AL2"/>
    <mergeCell ref="AM2:AO2"/>
    <mergeCell ref="AP2:AR2"/>
    <mergeCell ref="AS2:AU2"/>
    <mergeCell ref="AV2:AX2"/>
    <mergeCell ref="AY2:BA2"/>
  </mergeCells>
  <hyperlinks>
    <hyperlink ref="BH88" r:id="rId1" display="http://www.theepochtimes.com/"/>
    <hyperlink ref="BH31" r:id="rId2" display="http://www.theepochtimes.com/"/>
    <hyperlink ref="BH87" r:id="rId3"/>
    <hyperlink ref="BH29" r:id="rId4"/>
    <hyperlink ref="BH38" r:id="rId5"/>
    <hyperlink ref="BH6" r:id="rId6"/>
    <hyperlink ref="BH9" r:id="rId7"/>
    <hyperlink ref="BH63" r:id="rId8"/>
    <hyperlink ref="BH72" r:id="rId9"/>
    <hyperlink ref="BH89" r:id="rId10"/>
    <hyperlink ref="BH30" r:id="rId11"/>
    <hyperlink ref="BH103" r:id="rId12"/>
    <hyperlink ref="BH102" r:id="rId13"/>
    <hyperlink ref="BH46" r:id="rId14"/>
    <hyperlink ref="BH34" r:id="rId15"/>
    <hyperlink ref="BH166" r:id="rId16"/>
    <hyperlink ref="BH168" r:id="rId17"/>
    <hyperlink ref="BH32" r:id="rId18" display="http://www.bclocalnews.com/daily/victoria/"/>
    <hyperlink ref="BH165" r:id="rId19"/>
    <hyperlink ref="BH84" r:id="rId20"/>
    <hyperlink ref="BH93" r:id="rId21"/>
    <hyperlink ref="BH81" r:id="rId22"/>
    <hyperlink ref="BH74" r:id="rId23"/>
    <hyperlink ref="BH164" r:id="rId24" display="http://tonightnewspaper.com/"/>
  </hyperlinks>
  <printOptions horizontalCentered="1" gridLines="1"/>
  <pageMargins left="0.12" right="0.2" top="0.66" bottom="0.54" header="0.23622047244094499" footer="0.23622047244094499"/>
  <pageSetup scale="57" orientation="landscape" horizontalDpi="4294967293" verticalDpi="1200" r:id="rId25"/>
  <headerFooter scaleWithDoc="0">
    <oddHeader>&amp;C&amp;"-,Bold"&amp;18&amp;K324481Newspapers Canada Annual Circulation Report 2013</oddHeader>
    <oddFooter>&amp;L&amp;8Source:  Newspapers Canada
May 2014&amp;R&amp;8&amp;P</oddFooter>
  </headerFooter>
  <rowBreaks count="2" manualBreakCount="2">
    <brk id="61" max="55" man="1"/>
    <brk id="117"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90" zoomScalePageLayoutView="90" workbookViewId="0">
      <selection activeCell="B46" sqref="B46"/>
    </sheetView>
  </sheetViews>
  <sheetFormatPr defaultColWidth="8.85546875" defaultRowHeight="15"/>
  <cols>
    <col min="1" max="1" width="41" style="74" bestFit="1" customWidth="1"/>
    <col min="2" max="2" width="29.28515625" style="74" bestFit="1" customWidth="1"/>
    <col min="3" max="3" width="34" style="74" bestFit="1" customWidth="1"/>
    <col min="4" max="4" width="43" style="74" customWidth="1"/>
    <col min="5" max="16384" width="8.85546875" style="74"/>
  </cols>
  <sheetData>
    <row r="1" spans="1:4" s="337" customFormat="1" ht="15.75">
      <c r="A1" s="334" t="s">
        <v>359</v>
      </c>
      <c r="B1" s="335" t="s">
        <v>387</v>
      </c>
      <c r="C1" s="335" t="s">
        <v>360</v>
      </c>
      <c r="D1" s="336" t="s">
        <v>545</v>
      </c>
    </row>
    <row r="2" spans="1:4">
      <c r="A2" s="74" t="s">
        <v>564</v>
      </c>
      <c r="B2" s="74" t="s">
        <v>326</v>
      </c>
      <c r="C2" s="74" t="s">
        <v>380</v>
      </c>
      <c r="D2" s="74" t="s">
        <v>439</v>
      </c>
    </row>
    <row r="3" spans="1:4">
      <c r="A3" s="74" t="s">
        <v>565</v>
      </c>
      <c r="C3" s="74" t="s">
        <v>381</v>
      </c>
      <c r="D3" s="74" t="s">
        <v>270</v>
      </c>
    </row>
    <row r="4" spans="1:4" ht="15.75">
      <c r="A4" s="74" t="s">
        <v>201</v>
      </c>
      <c r="B4" s="335" t="s">
        <v>305</v>
      </c>
      <c r="C4" s="74" t="s">
        <v>361</v>
      </c>
      <c r="D4" s="74" t="s">
        <v>350</v>
      </c>
    </row>
    <row r="5" spans="1:4">
      <c r="B5" s="74" t="s">
        <v>348</v>
      </c>
      <c r="C5" s="74" t="s">
        <v>141</v>
      </c>
      <c r="D5" s="74" t="s">
        <v>272</v>
      </c>
    </row>
    <row r="6" spans="1:4" ht="15.75">
      <c r="A6" s="335" t="s">
        <v>362</v>
      </c>
      <c r="C6" s="74" t="s">
        <v>363</v>
      </c>
      <c r="D6" s="74" t="s">
        <v>352</v>
      </c>
    </row>
    <row r="7" spans="1:4" ht="15.75">
      <c r="A7" s="74" t="s">
        <v>566</v>
      </c>
      <c r="B7" s="335" t="s">
        <v>399</v>
      </c>
      <c r="C7" s="74" t="s">
        <v>166</v>
      </c>
      <c r="D7" s="74" t="s">
        <v>379</v>
      </c>
    </row>
    <row r="8" spans="1:4">
      <c r="A8" s="74" t="s">
        <v>77</v>
      </c>
      <c r="B8" s="74" t="s">
        <v>309</v>
      </c>
      <c r="C8" s="74" t="s">
        <v>364</v>
      </c>
      <c r="D8" s="74" t="s">
        <v>104</v>
      </c>
    </row>
    <row r="9" spans="1:4">
      <c r="A9" s="74" t="s">
        <v>567</v>
      </c>
      <c r="B9" s="74" t="s">
        <v>310</v>
      </c>
      <c r="C9" s="74" t="s">
        <v>382</v>
      </c>
      <c r="D9" s="74" t="s">
        <v>276</v>
      </c>
    </row>
    <row r="10" spans="1:4">
      <c r="A10" s="74" t="s">
        <v>568</v>
      </c>
      <c r="B10" s="74" t="s">
        <v>569</v>
      </c>
      <c r="C10" s="74" t="s">
        <v>383</v>
      </c>
      <c r="D10" s="74" t="s">
        <v>209</v>
      </c>
    </row>
    <row r="11" spans="1:4">
      <c r="A11" s="75" t="s">
        <v>273</v>
      </c>
      <c r="B11" s="74" t="s">
        <v>132</v>
      </c>
      <c r="C11" s="74" t="s">
        <v>384</v>
      </c>
      <c r="D11" s="75" t="s">
        <v>278</v>
      </c>
    </row>
    <row r="12" spans="1:4">
      <c r="A12" s="75" t="s">
        <v>277</v>
      </c>
      <c r="B12" s="75" t="s">
        <v>312</v>
      </c>
      <c r="C12" s="74" t="s">
        <v>385</v>
      </c>
      <c r="D12" s="75" t="s">
        <v>280</v>
      </c>
    </row>
    <row r="13" spans="1:4">
      <c r="A13" s="75" t="s">
        <v>279</v>
      </c>
      <c r="B13" s="75" t="s">
        <v>314</v>
      </c>
      <c r="C13" s="74" t="s">
        <v>386</v>
      </c>
    </row>
    <row r="14" spans="1:4" ht="15.75">
      <c r="C14" s="74" t="s">
        <v>169</v>
      </c>
      <c r="D14" s="335" t="s">
        <v>282</v>
      </c>
    </row>
    <row r="15" spans="1:4" ht="15.75">
      <c r="A15" s="335" t="s">
        <v>281</v>
      </c>
      <c r="B15" s="334" t="s">
        <v>546</v>
      </c>
      <c r="C15" s="74" t="s">
        <v>37</v>
      </c>
      <c r="D15" s="74" t="s">
        <v>349</v>
      </c>
    </row>
    <row r="16" spans="1:4">
      <c r="A16" s="74" t="s">
        <v>323</v>
      </c>
      <c r="B16" s="74" t="s">
        <v>327</v>
      </c>
      <c r="C16" s="74" t="s">
        <v>32</v>
      </c>
      <c r="D16" s="74" t="s">
        <v>283</v>
      </c>
    </row>
    <row r="17" spans="1:4">
      <c r="A17" s="74" t="s">
        <v>324</v>
      </c>
      <c r="B17" s="74" t="s">
        <v>328</v>
      </c>
      <c r="C17" s="74" t="s">
        <v>365</v>
      </c>
      <c r="D17" s="74" t="s">
        <v>134</v>
      </c>
    </row>
    <row r="18" spans="1:4">
      <c r="A18" s="74" t="s">
        <v>325</v>
      </c>
      <c r="B18" s="74" t="s">
        <v>342</v>
      </c>
      <c r="C18" s="74" t="s">
        <v>117</v>
      </c>
      <c r="D18" s="74" t="s">
        <v>284</v>
      </c>
    </row>
    <row r="19" spans="1:4">
      <c r="B19" s="74" t="s">
        <v>343</v>
      </c>
      <c r="C19" s="74" t="s">
        <v>366</v>
      </c>
      <c r="D19" s="75" t="s">
        <v>285</v>
      </c>
    </row>
    <row r="20" spans="1:4" ht="15.75">
      <c r="A20" s="335" t="s">
        <v>289</v>
      </c>
      <c r="B20" s="74" t="s">
        <v>344</v>
      </c>
      <c r="C20" s="74" t="s">
        <v>367</v>
      </c>
      <c r="D20" s="75" t="s">
        <v>286</v>
      </c>
    </row>
    <row r="21" spans="1:4">
      <c r="A21" s="74" t="s">
        <v>72</v>
      </c>
      <c r="B21" s="74" t="s">
        <v>345</v>
      </c>
      <c r="C21" s="74" t="s">
        <v>368</v>
      </c>
      <c r="D21" s="75" t="s">
        <v>288</v>
      </c>
    </row>
    <row r="22" spans="1:4">
      <c r="A22" s="74" t="s">
        <v>292</v>
      </c>
      <c r="B22" s="74" t="s">
        <v>346</v>
      </c>
      <c r="C22" s="74" t="s">
        <v>139</v>
      </c>
      <c r="D22" s="75" t="s">
        <v>290</v>
      </c>
    </row>
    <row r="23" spans="1:4">
      <c r="A23" s="74" t="s">
        <v>294</v>
      </c>
      <c r="B23" s="74" t="s">
        <v>347</v>
      </c>
      <c r="C23" s="74" t="s">
        <v>369</v>
      </c>
      <c r="D23" s="75" t="s">
        <v>291</v>
      </c>
    </row>
    <row r="24" spans="1:4">
      <c r="B24" s="74" t="s">
        <v>329</v>
      </c>
      <c r="C24" s="74" t="s">
        <v>124</v>
      </c>
      <c r="D24" s="75" t="s">
        <v>293</v>
      </c>
    </row>
    <row r="25" spans="1:4" ht="15.75">
      <c r="A25" s="335" t="s">
        <v>298</v>
      </c>
      <c r="B25" s="74" t="s">
        <v>330</v>
      </c>
      <c r="C25" s="74" t="s">
        <v>146</v>
      </c>
      <c r="D25" s="75" t="s">
        <v>295</v>
      </c>
    </row>
    <row r="26" spans="1:4">
      <c r="A26" s="74" t="s">
        <v>90</v>
      </c>
      <c r="C26" s="74" t="s">
        <v>184</v>
      </c>
      <c r="D26" s="75" t="s">
        <v>297</v>
      </c>
    </row>
    <row r="27" spans="1:4" ht="15.75">
      <c r="A27" s="74" t="s">
        <v>86</v>
      </c>
      <c r="B27" s="335" t="s">
        <v>296</v>
      </c>
      <c r="C27" s="74" t="s">
        <v>148</v>
      </c>
      <c r="D27" s="75" t="s">
        <v>300</v>
      </c>
    </row>
    <row r="28" spans="1:4">
      <c r="B28" s="74" t="s">
        <v>299</v>
      </c>
      <c r="C28" s="74" t="s">
        <v>122</v>
      </c>
    </row>
    <row r="29" spans="1:4" ht="15.75">
      <c r="A29" s="335" t="s">
        <v>271</v>
      </c>
      <c r="B29" s="74" t="s">
        <v>301</v>
      </c>
      <c r="C29" s="74" t="s">
        <v>370</v>
      </c>
      <c r="D29" s="335" t="s">
        <v>302</v>
      </c>
    </row>
    <row r="30" spans="1:4">
      <c r="A30" s="74" t="s">
        <v>59</v>
      </c>
      <c r="B30" s="74" t="s">
        <v>204</v>
      </c>
      <c r="C30" s="74" t="s">
        <v>371</v>
      </c>
      <c r="D30" s="74" t="s">
        <v>304</v>
      </c>
    </row>
    <row r="31" spans="1:4">
      <c r="A31" s="74" t="s">
        <v>274</v>
      </c>
      <c r="B31" s="74" t="s">
        <v>303</v>
      </c>
      <c r="C31" s="74" t="s">
        <v>172</v>
      </c>
    </row>
    <row r="32" spans="1:4">
      <c r="A32" s="74" t="s">
        <v>62</v>
      </c>
      <c r="B32" s="74" t="s">
        <v>306</v>
      </c>
      <c r="C32" s="76" t="s">
        <v>175</v>
      </c>
      <c r="D32" s="338" t="s">
        <v>308</v>
      </c>
    </row>
    <row r="33" spans="1:4">
      <c r="A33" s="74" t="s">
        <v>275</v>
      </c>
      <c r="B33" s="74" t="s">
        <v>192</v>
      </c>
      <c r="C33" s="74" t="s">
        <v>157</v>
      </c>
      <c r="D33" s="376" t="s">
        <v>376</v>
      </c>
    </row>
    <row r="34" spans="1:4">
      <c r="A34" s="74" t="s">
        <v>70</v>
      </c>
      <c r="B34" s="74" t="s">
        <v>307</v>
      </c>
      <c r="C34" s="74" t="s">
        <v>150</v>
      </c>
      <c r="D34" s="376" t="s">
        <v>377</v>
      </c>
    </row>
    <row r="35" spans="1:4">
      <c r="A35" s="74" t="s">
        <v>351</v>
      </c>
      <c r="C35" s="74" t="s">
        <v>159</v>
      </c>
      <c r="D35" s="376" t="s">
        <v>375</v>
      </c>
    </row>
    <row r="36" spans="1:4">
      <c r="A36" s="74" t="s">
        <v>74</v>
      </c>
      <c r="C36" s="74" t="s">
        <v>162</v>
      </c>
      <c r="D36" s="376" t="s">
        <v>378</v>
      </c>
    </row>
    <row r="37" spans="1:4">
      <c r="C37" s="75" t="s">
        <v>311</v>
      </c>
      <c r="D37" s="376" t="s">
        <v>400</v>
      </c>
    </row>
    <row r="38" spans="1:4">
      <c r="C38" s="75" t="s">
        <v>313</v>
      </c>
      <c r="D38" s="376" t="s">
        <v>374</v>
      </c>
    </row>
    <row r="39" spans="1:4">
      <c r="C39" s="75" t="s">
        <v>315</v>
      </c>
      <c r="D39" s="376" t="s">
        <v>373</v>
      </c>
    </row>
    <row r="40" spans="1:4">
      <c r="A40" s="377" t="s">
        <v>572</v>
      </c>
      <c r="D40" s="376" t="s">
        <v>372</v>
      </c>
    </row>
    <row r="41" spans="1:4">
      <c r="A41" s="378" t="s">
        <v>573</v>
      </c>
      <c r="D41" s="376" t="s">
        <v>571</v>
      </c>
    </row>
  </sheetData>
  <printOptions horizontalCentered="1"/>
  <pageMargins left="0.7" right="0.7" top="0.75" bottom="0.75" header="0.3" footer="0.3"/>
  <pageSetup scale="82" orientation="landscape" horizontalDpi="4294967293" verticalDpi="1200" r:id="rId1"/>
  <headerFooter scaleWithDoc="0">
    <oddHeader>&amp;C&amp;"-,Bold"&amp;18&amp;K324481 2013 Ownership Groups - Canadian Daily Newspapers&amp;20&amp;K01+000 &amp;"-,Regular"&amp;16(113 papers)</oddHeader>
    <oddFooter>&amp;L&amp;"-,Italic"&amp;8Source:  Newspapers Canada 
May 2014&amp;R&amp;"-,Italic"&amp;8*  non-member of CNA
# paywall/metered access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zoomScaleSheetLayoutView="110" workbookViewId="0">
      <selection sqref="A1:XFD2"/>
    </sheetView>
  </sheetViews>
  <sheetFormatPr defaultColWidth="8.85546875" defaultRowHeight="12.75"/>
  <cols>
    <col min="1" max="1" width="33.5703125" style="79" customWidth="1"/>
    <col min="2" max="12" width="7.28515625" style="77" customWidth="1"/>
    <col min="13" max="14" width="8" style="77" customWidth="1"/>
    <col min="15" max="15" width="5.28515625" style="77" bestFit="1" customWidth="1"/>
    <col min="16" max="16" width="7.85546875" style="78" bestFit="1" customWidth="1"/>
    <col min="17" max="16384" width="8.85546875" style="79"/>
  </cols>
  <sheetData>
    <row r="1" spans="1:16" s="343" customFormat="1" ht="13.5" thickBot="1">
      <c r="A1" s="344" t="s">
        <v>11</v>
      </c>
      <c r="B1" s="348" t="s">
        <v>16</v>
      </c>
      <c r="C1" s="348" t="s">
        <v>51</v>
      </c>
      <c r="D1" s="348" t="s">
        <v>87</v>
      </c>
      <c r="E1" s="348" t="s">
        <v>96</v>
      </c>
      <c r="F1" s="348" t="s">
        <v>105</v>
      </c>
      <c r="G1" s="348" t="s">
        <v>109</v>
      </c>
      <c r="H1" s="348" t="s">
        <v>119</v>
      </c>
      <c r="I1" s="348" t="s">
        <v>189</v>
      </c>
      <c r="J1" s="348" t="s">
        <v>194</v>
      </c>
      <c r="K1" s="348" t="s">
        <v>206</v>
      </c>
      <c r="L1" s="348" t="s">
        <v>316</v>
      </c>
      <c r="M1" s="348" t="s">
        <v>144</v>
      </c>
      <c r="N1" s="349" t="s">
        <v>396</v>
      </c>
      <c r="O1" s="341"/>
      <c r="P1" s="342"/>
    </row>
    <row r="2" spans="1:16" ht="15">
      <c r="A2" s="97" t="s">
        <v>388</v>
      </c>
      <c r="B2" s="98">
        <v>2</v>
      </c>
      <c r="C2" s="99"/>
      <c r="D2" s="99"/>
      <c r="E2" s="99"/>
      <c r="F2" s="99"/>
      <c r="G2" s="99"/>
      <c r="H2" s="99"/>
      <c r="I2" s="99"/>
      <c r="J2" s="99">
        <v>1</v>
      </c>
      <c r="K2" s="99"/>
      <c r="L2" s="99"/>
      <c r="M2" s="100"/>
      <c r="N2" s="101">
        <f>SUM(B2:M2)</f>
        <v>3</v>
      </c>
    </row>
    <row r="3" spans="1:16" ht="15">
      <c r="A3" s="92" t="s">
        <v>389</v>
      </c>
      <c r="B3" s="91">
        <v>1</v>
      </c>
      <c r="C3" s="88">
        <v>6</v>
      </c>
      <c r="D3" s="88"/>
      <c r="E3" s="88"/>
      <c r="F3" s="88"/>
      <c r="G3" s="88"/>
      <c r="H3" s="88"/>
      <c r="I3" s="88"/>
      <c r="J3" s="88"/>
      <c r="K3" s="88"/>
      <c r="L3" s="88"/>
      <c r="M3" s="89"/>
      <c r="N3" s="101">
        <f t="shared" ref="N3:N15" si="0">SUM(B3:M3)</f>
        <v>7</v>
      </c>
    </row>
    <row r="4" spans="1:16" ht="15">
      <c r="A4" s="92" t="s">
        <v>101</v>
      </c>
      <c r="B4" s="91"/>
      <c r="C4" s="88"/>
      <c r="D4" s="88"/>
      <c r="E4" s="88">
        <v>3</v>
      </c>
      <c r="F4" s="88"/>
      <c r="G4" s="88"/>
      <c r="H4" s="88"/>
      <c r="I4" s="88"/>
      <c r="J4" s="88"/>
      <c r="K4" s="88"/>
      <c r="L4" s="88"/>
      <c r="M4" s="89"/>
      <c r="N4" s="101">
        <f t="shared" si="0"/>
        <v>3</v>
      </c>
    </row>
    <row r="5" spans="1:16" ht="15">
      <c r="A5" s="92" t="s">
        <v>317</v>
      </c>
      <c r="B5" s="91"/>
      <c r="C5" s="88">
        <v>2</v>
      </c>
      <c r="D5" s="88"/>
      <c r="E5" s="88"/>
      <c r="F5" s="88"/>
      <c r="G5" s="88"/>
      <c r="H5" s="88">
        <v>1</v>
      </c>
      <c r="I5" s="88"/>
      <c r="J5" s="88"/>
      <c r="K5" s="88"/>
      <c r="L5" s="88"/>
      <c r="M5" s="89"/>
      <c r="N5" s="101">
        <f t="shared" si="0"/>
        <v>3</v>
      </c>
    </row>
    <row r="6" spans="1:16" ht="15">
      <c r="A6" s="92" t="s">
        <v>318</v>
      </c>
      <c r="B6" s="91"/>
      <c r="C6" s="88"/>
      <c r="D6" s="88">
        <v>2</v>
      </c>
      <c r="E6" s="88"/>
      <c r="F6" s="88"/>
      <c r="G6" s="88"/>
      <c r="H6" s="88"/>
      <c r="I6" s="88"/>
      <c r="J6" s="88"/>
      <c r="K6" s="88"/>
      <c r="L6" s="88"/>
      <c r="M6" s="89"/>
      <c r="N6" s="101">
        <f t="shared" si="0"/>
        <v>2</v>
      </c>
    </row>
    <row r="7" spans="1:16" ht="15">
      <c r="A7" s="92" t="s">
        <v>390</v>
      </c>
      <c r="B7" s="91"/>
      <c r="C7" s="88"/>
      <c r="D7" s="88"/>
      <c r="E7" s="88"/>
      <c r="F7" s="88"/>
      <c r="G7" s="88"/>
      <c r="H7" s="88">
        <v>1</v>
      </c>
      <c r="I7" s="88"/>
      <c r="J7" s="88">
        <v>6</v>
      </c>
      <c r="K7" s="88"/>
      <c r="L7" s="88"/>
      <c r="M7" s="89"/>
      <c r="N7" s="101">
        <f t="shared" si="0"/>
        <v>7</v>
      </c>
    </row>
    <row r="8" spans="1:16" ht="15">
      <c r="A8" s="92" t="s">
        <v>391</v>
      </c>
      <c r="B8" s="91"/>
      <c r="C8" s="88">
        <v>7</v>
      </c>
      <c r="D8" s="88"/>
      <c r="E8" s="88"/>
      <c r="F8" s="88"/>
      <c r="G8" s="88"/>
      <c r="H8" s="88"/>
      <c r="I8" s="88"/>
      <c r="J8" s="88"/>
      <c r="K8" s="88"/>
      <c r="L8" s="88"/>
      <c r="M8" s="89"/>
      <c r="N8" s="101">
        <f t="shared" si="0"/>
        <v>7</v>
      </c>
    </row>
    <row r="9" spans="1:16" ht="15">
      <c r="A9" s="92" t="s">
        <v>392</v>
      </c>
      <c r="B9" s="91"/>
      <c r="C9" s="88"/>
      <c r="D9" s="88"/>
      <c r="E9" s="88"/>
      <c r="F9" s="88"/>
      <c r="G9" s="88"/>
      <c r="H9" s="88"/>
      <c r="I9" s="88"/>
      <c r="J9" s="88"/>
      <c r="K9" s="88"/>
      <c r="L9" s="88"/>
      <c r="M9" s="90">
        <v>1</v>
      </c>
      <c r="N9" s="101">
        <f t="shared" si="0"/>
        <v>1</v>
      </c>
    </row>
    <row r="10" spans="1:16" ht="15">
      <c r="A10" s="92" t="s">
        <v>395</v>
      </c>
      <c r="B10" s="91"/>
      <c r="C10" s="88">
        <v>1</v>
      </c>
      <c r="D10" s="88"/>
      <c r="E10" s="88">
        <v>1</v>
      </c>
      <c r="F10" s="88"/>
      <c r="G10" s="88">
        <v>1</v>
      </c>
      <c r="H10" s="88">
        <v>2</v>
      </c>
      <c r="I10" s="88"/>
      <c r="J10" s="88">
        <v>1</v>
      </c>
      <c r="K10" s="88"/>
      <c r="L10" s="88">
        <v>1</v>
      </c>
      <c r="M10" s="90"/>
      <c r="N10" s="101">
        <f t="shared" si="0"/>
        <v>7</v>
      </c>
    </row>
    <row r="11" spans="1:16" ht="15">
      <c r="A11" s="92" t="s">
        <v>22</v>
      </c>
      <c r="B11" s="91">
        <v>2</v>
      </c>
      <c r="C11" s="88">
        <v>2</v>
      </c>
      <c r="D11" s="88"/>
      <c r="E11" s="88"/>
      <c r="F11" s="88"/>
      <c r="G11" s="88"/>
      <c r="H11" s="88">
        <v>2</v>
      </c>
      <c r="I11" s="88"/>
      <c r="J11" s="88">
        <v>1</v>
      </c>
      <c r="K11" s="88">
        <v>2</v>
      </c>
      <c r="L11" s="88"/>
      <c r="M11" s="90">
        <v>1</v>
      </c>
      <c r="N11" s="101">
        <f t="shared" si="0"/>
        <v>10</v>
      </c>
    </row>
    <row r="12" spans="1:16" ht="15">
      <c r="A12" s="92" t="s">
        <v>393</v>
      </c>
      <c r="B12" s="91"/>
      <c r="C12" s="88"/>
      <c r="D12" s="88"/>
      <c r="E12" s="88"/>
      <c r="F12" s="88"/>
      <c r="G12" s="88"/>
      <c r="H12" s="88">
        <v>1</v>
      </c>
      <c r="I12" s="88"/>
      <c r="J12" s="88"/>
      <c r="K12" s="88"/>
      <c r="L12" s="88"/>
      <c r="M12" s="89"/>
      <c r="N12" s="101">
        <f t="shared" si="0"/>
        <v>1</v>
      </c>
    </row>
    <row r="13" spans="1:16" ht="15">
      <c r="A13" s="92" t="s">
        <v>394</v>
      </c>
      <c r="B13" s="91">
        <v>4</v>
      </c>
      <c r="C13" s="88">
        <v>1</v>
      </c>
      <c r="D13" s="88">
        <v>1</v>
      </c>
      <c r="E13" s="88"/>
      <c r="F13" s="88"/>
      <c r="G13" s="88"/>
      <c r="H13" s="88">
        <v>29</v>
      </c>
      <c r="I13" s="88"/>
      <c r="J13" s="88">
        <v>3</v>
      </c>
      <c r="K13" s="88"/>
      <c r="L13" s="88"/>
      <c r="M13" s="89"/>
      <c r="N13" s="101">
        <f t="shared" si="0"/>
        <v>38</v>
      </c>
    </row>
    <row r="14" spans="1:16" ht="15">
      <c r="A14" s="92" t="s">
        <v>107</v>
      </c>
      <c r="B14" s="91"/>
      <c r="C14" s="88"/>
      <c r="D14" s="88"/>
      <c r="E14" s="88"/>
      <c r="F14" s="88">
        <v>2</v>
      </c>
      <c r="G14" s="88">
        <v>4</v>
      </c>
      <c r="H14" s="88"/>
      <c r="I14" s="88">
        <v>2</v>
      </c>
      <c r="J14" s="88">
        <v>1</v>
      </c>
      <c r="K14" s="88">
        <v>2</v>
      </c>
      <c r="L14" s="88"/>
      <c r="M14" s="89"/>
      <c r="N14" s="101">
        <f t="shared" si="0"/>
        <v>11</v>
      </c>
    </row>
    <row r="15" spans="1:16" ht="15.75" thickBot="1">
      <c r="A15" s="93" t="s">
        <v>136</v>
      </c>
      <c r="B15" s="94">
        <v>2</v>
      </c>
      <c r="C15" s="95">
        <v>1</v>
      </c>
      <c r="D15" s="95">
        <v>1</v>
      </c>
      <c r="E15" s="95"/>
      <c r="F15" s="95"/>
      <c r="G15" s="95"/>
      <c r="H15" s="95">
        <v>7</v>
      </c>
      <c r="I15" s="95"/>
      <c r="J15" s="95"/>
      <c r="K15" s="95">
        <v>2</v>
      </c>
      <c r="L15" s="95"/>
      <c r="M15" s="96"/>
      <c r="N15" s="101">
        <f t="shared" si="0"/>
        <v>13</v>
      </c>
    </row>
    <row r="16" spans="1:16" s="343" customFormat="1" ht="13.5" thickBot="1">
      <c r="A16" s="345" t="s">
        <v>396</v>
      </c>
      <c r="B16" s="346">
        <f>SUM(B2:B15)</f>
        <v>11</v>
      </c>
      <c r="C16" s="346">
        <f t="shared" ref="C16:M16" si="1">SUM(C2:C15)</f>
        <v>20</v>
      </c>
      <c r="D16" s="346">
        <f t="shared" si="1"/>
        <v>4</v>
      </c>
      <c r="E16" s="346">
        <f t="shared" si="1"/>
        <v>4</v>
      </c>
      <c r="F16" s="346">
        <f t="shared" si="1"/>
        <v>2</v>
      </c>
      <c r="G16" s="346">
        <f t="shared" si="1"/>
        <v>5</v>
      </c>
      <c r="H16" s="346">
        <f t="shared" si="1"/>
        <v>43</v>
      </c>
      <c r="I16" s="346">
        <f t="shared" si="1"/>
        <v>2</v>
      </c>
      <c r="J16" s="346">
        <f t="shared" si="1"/>
        <v>13</v>
      </c>
      <c r="K16" s="346">
        <f t="shared" si="1"/>
        <v>6</v>
      </c>
      <c r="L16" s="346">
        <f t="shared" si="1"/>
        <v>1</v>
      </c>
      <c r="M16" s="346">
        <f t="shared" si="1"/>
        <v>2</v>
      </c>
      <c r="N16" s="347">
        <f>SUM(N2:N15)</f>
        <v>113</v>
      </c>
      <c r="O16" s="341"/>
      <c r="P16" s="342"/>
    </row>
    <row r="18" spans="1:16">
      <c r="A18" s="82" t="s">
        <v>397</v>
      </c>
      <c r="B18" s="80"/>
      <c r="C18" s="80"/>
      <c r="D18" s="80"/>
      <c r="E18" s="80"/>
      <c r="F18" s="80"/>
      <c r="G18" s="80"/>
      <c r="H18" s="80"/>
      <c r="I18" s="80"/>
      <c r="J18" s="80"/>
      <c r="K18" s="80"/>
      <c r="L18" s="80"/>
      <c r="M18" s="80"/>
      <c r="N18" s="80"/>
      <c r="O18" s="80"/>
      <c r="P18" s="81"/>
    </row>
    <row r="19" spans="1:16">
      <c r="A19" s="82" t="s">
        <v>398</v>
      </c>
      <c r="B19" s="80"/>
      <c r="C19" s="80"/>
      <c r="D19" s="80"/>
      <c r="E19" s="80"/>
      <c r="F19" s="80"/>
      <c r="G19" s="80"/>
      <c r="H19" s="80"/>
      <c r="I19" s="80"/>
      <c r="J19" s="80"/>
      <c r="K19" s="80"/>
      <c r="L19" s="80"/>
      <c r="M19" s="80"/>
      <c r="N19" s="80"/>
      <c r="O19" s="80"/>
      <c r="P19" s="81"/>
    </row>
    <row r="20" spans="1:16">
      <c r="A20" s="82" t="s">
        <v>319</v>
      </c>
      <c r="B20" s="80"/>
      <c r="C20" s="80"/>
      <c r="D20" s="80"/>
      <c r="E20" s="80"/>
      <c r="F20" s="80"/>
      <c r="G20" s="80"/>
      <c r="H20" s="80"/>
      <c r="I20" s="80"/>
      <c r="J20" s="80"/>
      <c r="K20" s="80"/>
      <c r="L20" s="80"/>
      <c r="M20" s="80"/>
      <c r="N20" s="80"/>
      <c r="O20" s="80"/>
      <c r="P20" s="81"/>
    </row>
    <row r="21" spans="1:16">
      <c r="A21" s="82"/>
      <c r="B21" s="80"/>
      <c r="C21" s="80"/>
      <c r="D21" s="80"/>
      <c r="E21" s="80"/>
      <c r="F21" s="80"/>
      <c r="G21" s="80"/>
      <c r="H21" s="80"/>
      <c r="I21" s="80"/>
      <c r="J21" s="80"/>
      <c r="K21" s="80"/>
      <c r="L21" s="80"/>
      <c r="M21" s="80"/>
      <c r="N21" s="80"/>
      <c r="O21" s="80"/>
      <c r="P21" s="81"/>
    </row>
  </sheetData>
  <printOptions horizontalCentered="1"/>
  <pageMargins left="0.7" right="0.7" top="0.75" bottom="0.75" header="0.3" footer="0.3"/>
  <pageSetup scale="95" orientation="landscape" horizontalDpi="4294967294" r:id="rId1"/>
  <headerFooter scaleWithDoc="0">
    <oddHeader>&amp;C&amp;"-,Bold"&amp;18 &amp;K3244812013 Ownership by Province - Daily Newspapers</oddHeader>
    <oddFooter>&amp;L&amp;8Source:  Newspapers Canada 
May 2014&amp;R&amp;8&amp;P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zoomScaleNormal="100" zoomScaleSheetLayoutView="100" workbookViewId="0">
      <selection activeCell="H23" sqref="H23"/>
    </sheetView>
  </sheetViews>
  <sheetFormatPr defaultRowHeight="15"/>
  <cols>
    <col min="1" max="1" width="33.7109375" customWidth="1"/>
    <col min="2" max="2" width="13.5703125" style="102" customWidth="1"/>
    <col min="3" max="3" width="12" customWidth="1"/>
    <col min="4" max="4" width="20.7109375" customWidth="1"/>
    <col min="5" max="5" width="11.85546875" style="102" customWidth="1"/>
    <col min="6" max="6" width="30.140625" customWidth="1"/>
    <col min="7" max="7" width="12.5703125" customWidth="1"/>
  </cols>
  <sheetData>
    <row r="1" spans="1:7" s="83" customFormat="1" ht="15.75" thickBot="1">
      <c r="A1" s="350" t="s">
        <v>0</v>
      </c>
      <c r="B1" s="351" t="s">
        <v>1</v>
      </c>
      <c r="C1" s="351" t="s">
        <v>530</v>
      </c>
      <c r="D1" s="351" t="s">
        <v>3</v>
      </c>
      <c r="E1" s="351" t="s">
        <v>10</v>
      </c>
      <c r="F1" s="351" t="s">
        <v>11</v>
      </c>
      <c r="G1" s="352" t="s">
        <v>331</v>
      </c>
    </row>
    <row r="2" spans="1:7">
      <c r="A2" s="329" t="s">
        <v>214</v>
      </c>
      <c r="B2" s="331" t="s">
        <v>14</v>
      </c>
      <c r="C2" s="331" t="s">
        <v>215</v>
      </c>
      <c r="D2" s="330" t="s">
        <v>216</v>
      </c>
      <c r="E2" s="331" t="s">
        <v>36</v>
      </c>
      <c r="F2" s="330" t="s">
        <v>98</v>
      </c>
      <c r="G2" s="332">
        <v>2004</v>
      </c>
    </row>
    <row r="3" spans="1:7">
      <c r="A3" s="329" t="s">
        <v>531</v>
      </c>
      <c r="B3" s="331" t="s">
        <v>14</v>
      </c>
      <c r="C3" s="331" t="s">
        <v>51</v>
      </c>
      <c r="D3" s="330" t="s">
        <v>84</v>
      </c>
      <c r="E3" s="331" t="s">
        <v>85</v>
      </c>
      <c r="F3" s="330" t="s">
        <v>57</v>
      </c>
      <c r="G3" s="333">
        <v>40664</v>
      </c>
    </row>
    <row r="4" spans="1:7">
      <c r="A4" s="329" t="s">
        <v>532</v>
      </c>
      <c r="B4" s="331" t="s">
        <v>14</v>
      </c>
      <c r="C4" s="331" t="s">
        <v>194</v>
      </c>
      <c r="D4" s="330" t="s">
        <v>197</v>
      </c>
      <c r="E4" s="331" t="s">
        <v>45</v>
      </c>
      <c r="F4" s="330" t="s">
        <v>22</v>
      </c>
      <c r="G4" s="333">
        <v>40664</v>
      </c>
    </row>
    <row r="5" spans="1:7">
      <c r="A5" s="329" t="s">
        <v>46</v>
      </c>
      <c r="B5" s="331" t="s">
        <v>14</v>
      </c>
      <c r="C5" s="331" t="s">
        <v>16</v>
      </c>
      <c r="D5" s="330" t="s">
        <v>47</v>
      </c>
      <c r="E5" s="331" t="s">
        <v>45</v>
      </c>
      <c r="F5" s="330" t="s">
        <v>48</v>
      </c>
      <c r="G5" s="333">
        <v>40695</v>
      </c>
    </row>
    <row r="6" spans="1:7">
      <c r="A6" s="329" t="s">
        <v>533</v>
      </c>
      <c r="B6" s="331" t="s">
        <v>14</v>
      </c>
      <c r="C6" s="331" t="s">
        <v>96</v>
      </c>
      <c r="D6" s="330" t="s">
        <v>100</v>
      </c>
      <c r="E6" s="331" t="s">
        <v>45</v>
      </c>
      <c r="F6" s="330" t="s">
        <v>101</v>
      </c>
      <c r="G6" s="333">
        <v>40848</v>
      </c>
    </row>
    <row r="7" spans="1:7">
      <c r="A7" s="329" t="s">
        <v>534</v>
      </c>
      <c r="B7" s="331" t="s">
        <v>14</v>
      </c>
      <c r="C7" s="331" t="s">
        <v>96</v>
      </c>
      <c r="D7" s="330" t="s">
        <v>102</v>
      </c>
      <c r="E7" s="331" t="s">
        <v>45</v>
      </c>
      <c r="F7" s="330" t="s">
        <v>101</v>
      </c>
      <c r="G7" s="333">
        <v>40848</v>
      </c>
    </row>
    <row r="8" spans="1:7">
      <c r="A8" s="329" t="s">
        <v>535</v>
      </c>
      <c r="B8" s="331" t="s">
        <v>14</v>
      </c>
      <c r="C8" s="331" t="s">
        <v>96</v>
      </c>
      <c r="D8" s="330" t="s">
        <v>103</v>
      </c>
      <c r="E8" s="331" t="s">
        <v>45</v>
      </c>
      <c r="F8" s="330" t="s">
        <v>101</v>
      </c>
      <c r="G8" s="333">
        <v>40848</v>
      </c>
    </row>
    <row r="9" spans="1:7">
      <c r="A9" s="329" t="s">
        <v>49</v>
      </c>
      <c r="B9" s="331" t="s">
        <v>14</v>
      </c>
      <c r="C9" s="331" t="s">
        <v>51</v>
      </c>
      <c r="D9" s="330" t="s">
        <v>52</v>
      </c>
      <c r="E9" s="331" t="s">
        <v>36</v>
      </c>
      <c r="F9" s="330" t="s">
        <v>48</v>
      </c>
      <c r="G9" s="333">
        <v>40940</v>
      </c>
    </row>
    <row r="10" spans="1:7">
      <c r="A10" s="329" t="s">
        <v>68</v>
      </c>
      <c r="B10" s="331" t="s">
        <v>14</v>
      </c>
      <c r="C10" s="331" t="s">
        <v>51</v>
      </c>
      <c r="D10" s="330" t="s">
        <v>69</v>
      </c>
      <c r="E10" s="331" t="s">
        <v>36</v>
      </c>
      <c r="F10" s="330" t="s">
        <v>48</v>
      </c>
      <c r="G10" s="333">
        <v>40940</v>
      </c>
    </row>
    <row r="11" spans="1:7">
      <c r="A11" s="329" t="s">
        <v>81</v>
      </c>
      <c r="B11" s="331" t="s">
        <v>14</v>
      </c>
      <c r="C11" s="331" t="s">
        <v>51</v>
      </c>
      <c r="D11" s="330" t="s">
        <v>82</v>
      </c>
      <c r="E11" s="331" t="s">
        <v>45</v>
      </c>
      <c r="F11" s="330" t="s">
        <v>22</v>
      </c>
      <c r="G11" s="333">
        <v>41122</v>
      </c>
    </row>
    <row r="12" spans="1:7">
      <c r="A12" s="329" t="s">
        <v>536</v>
      </c>
      <c r="B12" s="331" t="s">
        <v>14</v>
      </c>
      <c r="C12" s="331" t="s">
        <v>51</v>
      </c>
      <c r="D12" s="330" t="s">
        <v>82</v>
      </c>
      <c r="E12" s="331" t="s">
        <v>83</v>
      </c>
      <c r="F12" s="330" t="s">
        <v>22</v>
      </c>
      <c r="G12" s="333">
        <v>41122</v>
      </c>
    </row>
    <row r="13" spans="1:7">
      <c r="A13" s="329" t="s">
        <v>449</v>
      </c>
      <c r="B13" s="331" t="s">
        <v>14</v>
      </c>
      <c r="C13" s="331" t="s">
        <v>119</v>
      </c>
      <c r="D13" s="330" t="s">
        <v>153</v>
      </c>
      <c r="E13" s="331" t="s">
        <v>45</v>
      </c>
      <c r="F13" s="330" t="s">
        <v>22</v>
      </c>
      <c r="G13" s="333">
        <v>41122</v>
      </c>
    </row>
    <row r="14" spans="1:7">
      <c r="A14" s="329" t="s">
        <v>198</v>
      </c>
      <c r="B14" s="331" t="s">
        <v>94</v>
      </c>
      <c r="C14" s="331" t="s">
        <v>194</v>
      </c>
      <c r="D14" s="330" t="s">
        <v>197</v>
      </c>
      <c r="E14" s="331" t="s">
        <v>21</v>
      </c>
      <c r="F14" s="330" t="s">
        <v>27</v>
      </c>
      <c r="G14" s="333">
        <v>41153</v>
      </c>
    </row>
    <row r="15" spans="1:7">
      <c r="A15" s="329" t="s">
        <v>200</v>
      </c>
      <c r="B15" s="331" t="s">
        <v>94</v>
      </c>
      <c r="C15" s="331" t="s">
        <v>194</v>
      </c>
      <c r="D15" s="330" t="s">
        <v>199</v>
      </c>
      <c r="E15" s="331" t="s">
        <v>21</v>
      </c>
      <c r="F15" s="330" t="s">
        <v>27</v>
      </c>
      <c r="G15" s="333">
        <v>41153</v>
      </c>
    </row>
    <row r="16" spans="1:7">
      <c r="A16" s="329" t="s">
        <v>143</v>
      </c>
      <c r="B16" s="331" t="s">
        <v>14</v>
      </c>
      <c r="C16" s="331" t="s">
        <v>119</v>
      </c>
      <c r="D16" s="330" t="s">
        <v>144</v>
      </c>
      <c r="E16" s="331" t="s">
        <v>45</v>
      </c>
      <c r="F16" s="330" t="s">
        <v>320</v>
      </c>
      <c r="G16" s="333">
        <v>41183</v>
      </c>
    </row>
    <row r="17" spans="1:7">
      <c r="A17" s="329" t="s">
        <v>25</v>
      </c>
      <c r="B17" s="331" t="s">
        <v>14</v>
      </c>
      <c r="C17" s="331" t="s">
        <v>16</v>
      </c>
      <c r="D17" s="330" t="s">
        <v>17</v>
      </c>
      <c r="E17" s="331" t="s">
        <v>21</v>
      </c>
      <c r="F17" s="330" t="s">
        <v>27</v>
      </c>
      <c r="G17" s="333">
        <v>41244</v>
      </c>
    </row>
    <row r="18" spans="1:7">
      <c r="A18" s="329" t="s">
        <v>31</v>
      </c>
      <c r="B18" s="331" t="s">
        <v>14</v>
      </c>
      <c r="C18" s="331" t="s">
        <v>16</v>
      </c>
      <c r="D18" s="330" t="s">
        <v>29</v>
      </c>
      <c r="E18" s="331" t="s">
        <v>21</v>
      </c>
      <c r="F18" s="330" t="s">
        <v>27</v>
      </c>
      <c r="G18" s="333">
        <v>41244</v>
      </c>
    </row>
    <row r="19" spans="1:7">
      <c r="A19" s="329" t="s">
        <v>93</v>
      </c>
      <c r="B19" s="331" t="s">
        <v>14</v>
      </c>
      <c r="C19" s="331" t="s">
        <v>87</v>
      </c>
      <c r="D19" s="330" t="s">
        <v>91</v>
      </c>
      <c r="E19" s="331" t="s">
        <v>21</v>
      </c>
      <c r="F19" s="330" t="s">
        <v>27</v>
      </c>
      <c r="G19" s="333">
        <v>41244</v>
      </c>
    </row>
    <row r="20" spans="1:7">
      <c r="A20" s="329" t="s">
        <v>156</v>
      </c>
      <c r="B20" s="331" t="s">
        <v>14</v>
      </c>
      <c r="C20" s="331" t="s">
        <v>119</v>
      </c>
      <c r="D20" s="330" t="s">
        <v>153</v>
      </c>
      <c r="E20" s="331" t="s">
        <v>21</v>
      </c>
      <c r="F20" s="330" t="s">
        <v>27</v>
      </c>
      <c r="G20" s="333">
        <v>41244</v>
      </c>
    </row>
    <row r="21" spans="1:7" s="86" customFormat="1">
      <c r="A21" s="329" t="s">
        <v>178</v>
      </c>
      <c r="B21" s="331" t="s">
        <v>14</v>
      </c>
      <c r="C21" s="331" t="s">
        <v>119</v>
      </c>
      <c r="D21" s="330" t="s">
        <v>179</v>
      </c>
      <c r="E21" s="331" t="s">
        <v>21</v>
      </c>
      <c r="F21" s="330" t="s">
        <v>27</v>
      </c>
      <c r="G21" s="333">
        <v>41244</v>
      </c>
    </row>
    <row r="22" spans="1:7" s="86" customFormat="1">
      <c r="A22" s="329" t="s">
        <v>43</v>
      </c>
      <c r="B22" s="331" t="s">
        <v>14</v>
      </c>
      <c r="C22" s="331" t="s">
        <v>16</v>
      </c>
      <c r="D22" s="330" t="s">
        <v>44</v>
      </c>
      <c r="E22" s="331" t="s">
        <v>45</v>
      </c>
      <c r="F22" s="330" t="s">
        <v>42</v>
      </c>
      <c r="G22" s="333">
        <v>41365</v>
      </c>
    </row>
    <row r="23" spans="1:7" s="86" customFormat="1">
      <c r="A23" s="329" t="s">
        <v>287</v>
      </c>
      <c r="B23" s="331" t="s">
        <v>14</v>
      </c>
      <c r="C23" s="331" t="s">
        <v>16</v>
      </c>
      <c r="D23" s="330" t="s">
        <v>17</v>
      </c>
      <c r="E23" s="331" t="s">
        <v>45</v>
      </c>
      <c r="F23" s="330" t="s">
        <v>22</v>
      </c>
      <c r="G23" s="333">
        <v>41395</v>
      </c>
    </row>
    <row r="24" spans="1:7" s="86" customFormat="1">
      <c r="A24" s="329" t="s">
        <v>423</v>
      </c>
      <c r="B24" s="331" t="s">
        <v>14</v>
      </c>
      <c r="C24" s="331" t="s">
        <v>16</v>
      </c>
      <c r="D24" s="330" t="s">
        <v>29</v>
      </c>
      <c r="E24" s="331" t="s">
        <v>45</v>
      </c>
      <c r="F24" s="330" t="s">
        <v>22</v>
      </c>
      <c r="G24" s="333">
        <v>41395</v>
      </c>
    </row>
    <row r="25" spans="1:7" s="86" customFormat="1">
      <c r="A25" s="329" t="s">
        <v>145</v>
      </c>
      <c r="B25" s="331" t="s">
        <v>14</v>
      </c>
      <c r="C25" s="331" t="s">
        <v>119</v>
      </c>
      <c r="D25" s="330" t="s">
        <v>144</v>
      </c>
      <c r="E25" s="331" t="s">
        <v>45</v>
      </c>
      <c r="F25" s="330" t="s">
        <v>22</v>
      </c>
      <c r="G25" s="333">
        <v>41395</v>
      </c>
    </row>
    <row r="26" spans="1:7" s="86" customFormat="1">
      <c r="A26" s="329" t="s">
        <v>186</v>
      </c>
      <c r="B26" s="331" t="s">
        <v>14</v>
      </c>
      <c r="C26" s="331" t="s">
        <v>119</v>
      </c>
      <c r="D26" s="330" t="s">
        <v>187</v>
      </c>
      <c r="E26" s="331" t="s">
        <v>45</v>
      </c>
      <c r="F26" s="330" t="s">
        <v>22</v>
      </c>
      <c r="G26" s="333">
        <v>41395</v>
      </c>
    </row>
    <row r="27" spans="1:7" s="86" customFormat="1">
      <c r="A27" s="329" t="s">
        <v>537</v>
      </c>
      <c r="B27" s="331" t="s">
        <v>14</v>
      </c>
      <c r="C27" s="331" t="s">
        <v>206</v>
      </c>
      <c r="D27" s="330" t="s">
        <v>212</v>
      </c>
      <c r="E27" s="331" t="s">
        <v>45</v>
      </c>
      <c r="F27" s="330" t="s">
        <v>22</v>
      </c>
      <c r="G27" s="333">
        <v>41395</v>
      </c>
    </row>
    <row r="28" spans="1:7" s="86" customFormat="1">
      <c r="A28" s="329" t="s">
        <v>538</v>
      </c>
      <c r="B28" s="331" t="s">
        <v>14</v>
      </c>
      <c r="C28" s="331" t="s">
        <v>206</v>
      </c>
      <c r="D28" s="330" t="s">
        <v>213</v>
      </c>
      <c r="E28" s="331" t="s">
        <v>45</v>
      </c>
      <c r="F28" s="330" t="s">
        <v>22</v>
      </c>
      <c r="G28" s="333">
        <v>41395</v>
      </c>
    </row>
    <row r="29" spans="1:7" s="86" customFormat="1">
      <c r="A29" s="329" t="s">
        <v>539</v>
      </c>
      <c r="B29" s="331" t="s">
        <v>14</v>
      </c>
      <c r="C29" s="331" t="s">
        <v>189</v>
      </c>
      <c r="D29" s="330" t="s">
        <v>190</v>
      </c>
      <c r="E29" s="331" t="s">
        <v>45</v>
      </c>
      <c r="F29" s="330" t="s">
        <v>107</v>
      </c>
      <c r="G29" s="333">
        <v>41395</v>
      </c>
    </row>
    <row r="30" spans="1:7" s="86" customFormat="1">
      <c r="A30" s="329" t="s">
        <v>39</v>
      </c>
      <c r="B30" s="331" t="s">
        <v>14</v>
      </c>
      <c r="C30" s="331" t="s">
        <v>16</v>
      </c>
      <c r="D30" s="330" t="s">
        <v>40</v>
      </c>
      <c r="E30" s="331" t="s">
        <v>21</v>
      </c>
      <c r="F30" s="330" t="s">
        <v>42</v>
      </c>
      <c r="G30" s="333">
        <v>41426</v>
      </c>
    </row>
    <row r="31" spans="1:7" s="86" customFormat="1">
      <c r="A31" s="329" t="s">
        <v>540</v>
      </c>
      <c r="B31" s="331" t="s">
        <v>14</v>
      </c>
      <c r="C31" s="331" t="s">
        <v>109</v>
      </c>
      <c r="D31" s="330" t="s">
        <v>115</v>
      </c>
      <c r="E31" s="331" t="s">
        <v>45</v>
      </c>
      <c r="F31" s="330" t="s">
        <v>107</v>
      </c>
      <c r="G31" s="333">
        <v>41456</v>
      </c>
    </row>
    <row r="32" spans="1:7" s="83" customFormat="1">
      <c r="A32" s="329" t="s">
        <v>541</v>
      </c>
      <c r="B32" s="331" t="s">
        <v>14</v>
      </c>
      <c r="C32" s="331" t="s">
        <v>109</v>
      </c>
      <c r="D32" s="330" t="s">
        <v>111</v>
      </c>
      <c r="E32" s="331" t="s">
        <v>21</v>
      </c>
      <c r="F32" s="330" t="s">
        <v>112</v>
      </c>
      <c r="G32" s="333">
        <v>41487</v>
      </c>
    </row>
    <row r="33" spans="1:7">
      <c r="A33" s="329" t="s">
        <v>180</v>
      </c>
      <c r="B33" s="331" t="s">
        <v>14</v>
      </c>
      <c r="C33" s="331" t="s">
        <v>119</v>
      </c>
      <c r="D33" s="330" t="s">
        <v>179</v>
      </c>
      <c r="E33" s="331" t="s">
        <v>21</v>
      </c>
      <c r="F33" s="330" t="s">
        <v>136</v>
      </c>
      <c r="G33" s="333">
        <v>41487</v>
      </c>
    </row>
    <row r="34" spans="1:7">
      <c r="A34" s="329" t="s">
        <v>542</v>
      </c>
      <c r="B34" s="331" t="s">
        <v>14</v>
      </c>
      <c r="C34" s="331" t="s">
        <v>189</v>
      </c>
      <c r="D34" s="330" t="s">
        <v>191</v>
      </c>
      <c r="E34" s="331" t="s">
        <v>45</v>
      </c>
      <c r="F34" s="330" t="s">
        <v>107</v>
      </c>
      <c r="G34" s="333">
        <v>41579</v>
      </c>
    </row>
    <row r="35" spans="1:7" s="375" customFormat="1">
      <c r="A35" s="371" t="s">
        <v>104</v>
      </c>
      <c r="B35" s="372" t="s">
        <v>14</v>
      </c>
      <c r="C35" s="372" t="s">
        <v>105</v>
      </c>
      <c r="D35" s="373" t="s">
        <v>106</v>
      </c>
      <c r="E35" s="372" t="s">
        <v>45</v>
      </c>
      <c r="F35" s="373" t="s">
        <v>107</v>
      </c>
      <c r="G35" s="374">
        <v>41640</v>
      </c>
    </row>
    <row r="36" spans="1:7" s="375" customFormat="1">
      <c r="A36" s="371" t="s">
        <v>543</v>
      </c>
      <c r="B36" s="372" t="s">
        <v>14</v>
      </c>
      <c r="C36" s="372" t="s">
        <v>109</v>
      </c>
      <c r="D36" s="373" t="s">
        <v>114</v>
      </c>
      <c r="E36" s="372" t="s">
        <v>45</v>
      </c>
      <c r="F36" s="373" t="s">
        <v>107</v>
      </c>
      <c r="G36" s="374">
        <v>41671</v>
      </c>
    </row>
    <row r="37" spans="1:7" s="375" customFormat="1">
      <c r="A37" s="371" t="s">
        <v>77</v>
      </c>
      <c r="B37" s="372" t="s">
        <v>14</v>
      </c>
      <c r="C37" s="372" t="s">
        <v>51</v>
      </c>
      <c r="D37" s="373" t="s">
        <v>78</v>
      </c>
      <c r="E37" s="372" t="s">
        <v>79</v>
      </c>
      <c r="F37" s="373" t="s">
        <v>48</v>
      </c>
      <c r="G37" s="374">
        <v>41699</v>
      </c>
    </row>
    <row r="38" spans="1:7" s="375" customFormat="1" ht="15.75" thickBot="1">
      <c r="A38" s="371" t="s">
        <v>544</v>
      </c>
      <c r="B38" s="372" t="s">
        <v>14</v>
      </c>
      <c r="C38" s="372" t="s">
        <v>105</v>
      </c>
      <c r="D38" s="373" t="s">
        <v>108</v>
      </c>
      <c r="E38" s="372" t="s">
        <v>21</v>
      </c>
      <c r="F38" s="373" t="s">
        <v>107</v>
      </c>
      <c r="G38" s="374">
        <v>41730</v>
      </c>
    </row>
    <row r="39" spans="1:7" ht="15.75" thickBot="1">
      <c r="A39" s="426" t="s">
        <v>570</v>
      </c>
      <c r="B39" s="427"/>
      <c r="C39" s="427"/>
      <c r="D39" s="427"/>
      <c r="E39" s="427"/>
      <c r="F39" s="427"/>
      <c r="G39" s="353">
        <f>COUNTA(G2:G34)</f>
        <v>33</v>
      </c>
    </row>
  </sheetData>
  <sortState ref="A2:E29">
    <sortCondition ref="E2:E29"/>
    <sortCondition ref="B2:B29"/>
    <sortCondition ref="C2:C29"/>
  </sortState>
  <mergeCells count="1">
    <mergeCell ref="A39:F39"/>
  </mergeCells>
  <printOptions horizontalCentered="1" verticalCentered="1"/>
  <pageMargins left="0.7" right="0.7" top="0.75" bottom="0.75" header="0.3" footer="0.3"/>
  <pageSetup scale="88" orientation="landscape" horizontalDpi="4294967293" verticalDpi="1200" r:id="rId1"/>
  <headerFooter scaleWithDoc="0">
    <oddHeader>&amp;C&amp;"-,Bold"&amp;18&amp;K324481Daily Newspapers in Canada - Metered Access/Paywalls</oddHeader>
    <oddFooter>&amp;L&amp;8Source:  Newspapers Canada
May 2014&amp;R&amp;8&amp;P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zoomScaleSheetLayoutView="100" workbookViewId="0">
      <selection activeCell="B15" sqref="B15"/>
    </sheetView>
  </sheetViews>
  <sheetFormatPr defaultRowHeight="15"/>
  <cols>
    <col min="1" max="1" width="128.7109375" style="72" customWidth="1"/>
    <col min="2" max="16384" width="9.140625" style="71"/>
  </cols>
  <sheetData>
    <row r="1" spans="1:1" ht="23.25">
      <c r="A1" s="370" t="s">
        <v>501</v>
      </c>
    </row>
    <row r="3" spans="1:1" ht="18.75">
      <c r="A3" s="339" t="s">
        <v>483</v>
      </c>
    </row>
    <row r="4" spans="1:1">
      <c r="A4" s="307" t="s">
        <v>484</v>
      </c>
    </row>
    <row r="5" spans="1:1">
      <c r="A5" s="310" t="s">
        <v>485</v>
      </c>
    </row>
    <row r="6" spans="1:1" ht="45">
      <c r="A6" s="104" t="s">
        <v>486</v>
      </c>
    </row>
    <row r="7" spans="1:1">
      <c r="A7" s="307" t="s">
        <v>487</v>
      </c>
    </row>
    <row r="8" spans="1:1" s="311" customFormat="1" ht="12.75">
      <c r="A8" s="310" t="s">
        <v>488</v>
      </c>
    </row>
    <row r="9" spans="1:1" ht="45">
      <c r="A9" s="104" t="s">
        <v>489</v>
      </c>
    </row>
    <row r="10" spans="1:1">
      <c r="A10" s="307" t="s">
        <v>490</v>
      </c>
    </row>
    <row r="11" spans="1:1" s="311" customFormat="1" ht="15" customHeight="1">
      <c r="A11" s="310" t="s">
        <v>491</v>
      </c>
    </row>
    <row r="12" spans="1:1" ht="30">
      <c r="A12" s="104" t="s">
        <v>492</v>
      </c>
    </row>
    <row r="14" spans="1:1" ht="18.75">
      <c r="A14" s="340" t="s">
        <v>415</v>
      </c>
    </row>
    <row r="15" spans="1:1" ht="30">
      <c r="A15" s="103" t="s">
        <v>502</v>
      </c>
    </row>
    <row r="16" spans="1:1" s="315" customFormat="1" ht="16.5" customHeight="1">
      <c r="A16" s="314" t="s">
        <v>493</v>
      </c>
    </row>
    <row r="17" spans="1:1" ht="19.5" customHeight="1">
      <c r="A17" s="103" t="s">
        <v>503</v>
      </c>
    </row>
    <row r="18" spans="1:1" ht="60">
      <c r="A18" s="103" t="s">
        <v>504</v>
      </c>
    </row>
    <row r="20" spans="1:1" ht="18.75">
      <c r="A20" s="308" t="s">
        <v>494</v>
      </c>
    </row>
    <row r="21" spans="1:1" ht="57.75" customHeight="1">
      <c r="A21" s="103" t="s">
        <v>505</v>
      </c>
    </row>
    <row r="22" spans="1:1" s="316" customFormat="1" ht="13.5" customHeight="1">
      <c r="A22" s="314" t="s">
        <v>495</v>
      </c>
    </row>
    <row r="23" spans="1:1" ht="39.75" customHeight="1">
      <c r="A23" s="103" t="s">
        <v>506</v>
      </c>
    </row>
    <row r="24" spans="1:1" ht="30">
      <c r="A24" s="103" t="s">
        <v>507</v>
      </c>
    </row>
    <row r="26" spans="1:1" ht="18.75">
      <c r="A26" s="340" t="s">
        <v>496</v>
      </c>
    </row>
    <row r="27" spans="1:1" ht="45">
      <c r="A27" s="103" t="s">
        <v>508</v>
      </c>
    </row>
    <row r="28" spans="1:1" s="313" customFormat="1" ht="19.5" customHeight="1">
      <c r="A28" s="312" t="s">
        <v>493</v>
      </c>
    </row>
    <row r="29" spans="1:1" ht="45">
      <c r="A29" s="103" t="s">
        <v>509</v>
      </c>
    </row>
    <row r="30" spans="1:1" ht="45">
      <c r="A30" s="103" t="s">
        <v>510</v>
      </c>
    </row>
    <row r="32" spans="1:1">
      <c r="A32" s="309" t="s">
        <v>497</v>
      </c>
    </row>
    <row r="33" spans="1:1" ht="30">
      <c r="A33" s="104" t="s">
        <v>498</v>
      </c>
    </row>
    <row r="34" spans="1:1">
      <c r="A34" s="309" t="s">
        <v>499</v>
      </c>
    </row>
    <row r="35" spans="1:1" ht="30">
      <c r="A35" s="104" t="s">
        <v>500</v>
      </c>
    </row>
  </sheetData>
  <hyperlinks>
    <hyperlink ref="A8" r:id="rId1"/>
    <hyperlink ref="A11" r:id="rId2"/>
    <hyperlink ref="A16" r:id="rId3"/>
    <hyperlink ref="A22" r:id="rId4"/>
    <hyperlink ref="A28" r:id="rId5"/>
    <hyperlink ref="A5" r:id="rId6"/>
  </hyperlinks>
  <printOptions horizontalCentered="1"/>
  <pageMargins left="0.7" right="0.7" top="0.75" bottom="0.75" header="0.3" footer="0.3"/>
  <pageSetup orientation="landscape" horizontalDpi="4294967293" verticalDpi="1200" r:id="rId7"/>
  <headerFooter scaleWithDoc="0">
    <oddFooter>&amp;L&amp;8Source:  Newspapers Canada 
May 2014&amp;R&amp;8&amp;P</oddFooter>
  </headerFooter>
  <rowBreaks count="1" manualBreakCount="1">
    <brk id="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2013 Report NOTES</vt:lpstr>
      <vt:lpstr>Industry Highlights 2013</vt:lpstr>
      <vt:lpstr>2013 Total Circulation by Title</vt:lpstr>
      <vt:lpstr>2013 Ownership Groups</vt:lpstr>
      <vt:lpstr>2013 Ownership by Province</vt:lpstr>
      <vt:lpstr>Metered Access-Paywalls</vt:lpstr>
      <vt:lpstr>Terminology</vt:lpstr>
      <vt:lpstr>'2013 Ownership by Province'!Print_Area</vt:lpstr>
      <vt:lpstr>'2013 Total Circulation by Title'!Print_Area</vt:lpstr>
      <vt:lpstr>Terminology!Print_Area</vt:lpstr>
      <vt:lpstr>'2013 Total Circulation by Title'!Print_Titles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2015-02-09T21:16:27Z</cp:lastPrinted>
  <dcterms:created xsi:type="dcterms:W3CDTF">2013-04-24T19:30:50Z</dcterms:created>
  <dcterms:modified xsi:type="dcterms:W3CDTF">2015-02-09T21:16:46Z</dcterms:modified>
</cp:coreProperties>
</file>