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00" windowWidth="20115" windowHeight="7560"/>
  </bookViews>
  <sheets>
    <sheet name="2014 Circulation by Title" sheetId="6" r:id="rId1"/>
    <sheet name="2014 Ownership" sheetId="2" r:id="rId2"/>
    <sheet name="2014 Tables" sheetId="3" r:id="rId3"/>
    <sheet name="2013 Circulation by Title" sheetId="7" r:id="rId4"/>
    <sheet name="2013 Ownership" sheetId="5" r:id="rId5"/>
  </sheets>
  <externalReferences>
    <externalReference r:id="rId6"/>
  </externalReferences>
  <definedNames>
    <definedName name="_xlnm._FilterDatabase" localSheetId="3" hidden="1">'2013 Circulation by Title'!$A$4:$BI$115</definedName>
    <definedName name="FREQUENCY" localSheetId="3">'[1]09CNA Circ'!#REF!</definedName>
    <definedName name="FREQUENCY" localSheetId="4">'[1]09CNA Circ'!#REF!</definedName>
    <definedName name="FREQUENCY" localSheetId="0">'[1]09CNA Circ'!#REF!</definedName>
    <definedName name="FREQUENCY" localSheetId="1">'[1]09CNA Circ'!#REF!</definedName>
    <definedName name="FREQUENCY">'[1]09CNA Circ'!#REF!</definedName>
    <definedName name="FRIDAY" localSheetId="3">'[1]09CNA Circ'!#REF!</definedName>
    <definedName name="FRIDAY" localSheetId="4">'[1]09CNA Circ'!#REF!</definedName>
    <definedName name="FRIDAY" localSheetId="0">'[1]09CNA Circ'!#REF!</definedName>
    <definedName name="FRIDAY" localSheetId="1">'[1]09CNA Circ'!#REF!</definedName>
    <definedName name="FRIDAY">'[1]09CNA Circ'!#REF!</definedName>
    <definedName name="MONDAY" localSheetId="3">'[1]09CNA Circ'!#REF!</definedName>
    <definedName name="MONDAY" localSheetId="4">'[1]09CNA Circ'!#REF!</definedName>
    <definedName name="MONDAY" localSheetId="0">'[1]09CNA Circ'!#REF!</definedName>
    <definedName name="MONDAY" localSheetId="1">'[1]09CNA Circ'!#REF!</definedName>
    <definedName name="MONDAY">'[1]09CNA Circ'!#REF!</definedName>
    <definedName name="_xlnm.Print_Area" localSheetId="3">'2013 Circulation by Title'!$A$1:$BD$152</definedName>
    <definedName name="_xlnm.Print_Area" localSheetId="0">'2014 Circulation by Title'!$A$1:$BD$148</definedName>
    <definedName name="_xlnm.Print_Titles" localSheetId="3">'2013 Circulation by Title'!$A:$Q,'2013 Circulation by Title'!$1:$3</definedName>
    <definedName name="_xlnm.Print_Titles" localSheetId="0">'2014 Circulation by Title'!$A:$Q,'2014 Circulation by Title'!$1:$3</definedName>
    <definedName name="SATURDAY" localSheetId="3">'[1]09CNA Circ'!#REF!</definedName>
    <definedName name="SATURDAY" localSheetId="4">'[1]09CNA Circ'!#REF!</definedName>
    <definedName name="SATURDAY" localSheetId="0">'[1]09CNA Circ'!#REF!</definedName>
    <definedName name="SATURDAY" localSheetId="1">'[1]09CNA Circ'!#REF!</definedName>
    <definedName name="SATURDAY">'[1]09CNA Circ'!#REF!</definedName>
    <definedName name="SUNDAY" localSheetId="3">'[1]09CNA Circ'!#REF!</definedName>
    <definedName name="SUNDAY" localSheetId="4">'[1]09CNA Circ'!#REF!</definedName>
    <definedName name="SUNDAY" localSheetId="0">'[1]09CNA Circ'!#REF!</definedName>
    <definedName name="SUNDAY" localSheetId="1">'[1]09CNA Circ'!#REF!</definedName>
    <definedName name="SUNDAY">'[1]09CNA Circ'!#REF!</definedName>
    <definedName name="THURSDAY" localSheetId="3">'[1]09CNA Circ'!#REF!</definedName>
    <definedName name="THURSDAY" localSheetId="4">'[1]09CNA Circ'!#REF!</definedName>
    <definedName name="THURSDAY" localSheetId="0">'[1]09CNA Circ'!#REF!</definedName>
    <definedName name="THURSDAY" localSheetId="1">'[1]09CNA Circ'!#REF!</definedName>
    <definedName name="THURSDAY">'[1]09CNA Circ'!#REF!</definedName>
    <definedName name="TUESDAY" localSheetId="3">'[1]09CNA Circ'!#REF!</definedName>
    <definedName name="TUESDAY" localSheetId="4">'[1]09CNA Circ'!#REF!</definedName>
    <definedName name="TUESDAY" localSheetId="0">'[1]09CNA Circ'!#REF!</definedName>
    <definedName name="TUESDAY" localSheetId="1">'[1]09CNA Circ'!#REF!</definedName>
    <definedName name="TUESDAY">'[1]09CNA Circ'!#REF!</definedName>
    <definedName name="WEDNESDAY" localSheetId="3">'[1]09CNA Circ'!#REF!</definedName>
    <definedName name="WEDNESDAY" localSheetId="4">'[1]09CNA Circ'!#REF!</definedName>
    <definedName name="WEDNESDAY" localSheetId="0">'[1]09CNA Circ'!#REF!</definedName>
    <definedName name="WEDNESDAY" localSheetId="1">'[1]09CNA Circ'!#REF!</definedName>
    <definedName name="WEDNESDAY">'[1]09CNA Circ'!#REF!</definedName>
  </definedNames>
  <calcPr calcId="145621"/>
  <pivotCaches>
    <pivotCache cacheId="0" r:id="rId7"/>
  </pivotCaches>
</workbook>
</file>

<file path=xl/calcChain.xml><?xml version="1.0" encoding="utf-8"?>
<calcChain xmlns="http://schemas.openxmlformats.org/spreadsheetml/2006/main">
  <c r="BD109" i="6" l="1"/>
  <c r="BC109" i="6"/>
  <c r="BB109" i="6"/>
  <c r="L116" i="7" l="1"/>
  <c r="D116" i="7"/>
  <c r="BD115" i="7"/>
  <c r="AS115" i="7"/>
  <c r="AP115" i="7"/>
  <c r="AL115" i="7"/>
  <c r="AX115" i="7" s="1"/>
  <c r="AK115" i="7"/>
  <c r="AJ115" i="7"/>
  <c r="Y115" i="7"/>
  <c r="AW115" i="7" s="1"/>
  <c r="X115" i="7"/>
  <c r="AV115" i="7" s="1"/>
  <c r="BB115" i="7" s="1"/>
  <c r="K115" i="7"/>
  <c r="BD114" i="7"/>
  <c r="AW114" i="7"/>
  <c r="AV114" i="7"/>
  <c r="BB114" i="7" s="1"/>
  <c r="BC114" i="7" s="1"/>
  <c r="K114" i="7"/>
  <c r="AZ113" i="7"/>
  <c r="AY113" i="7"/>
  <c r="BD113" i="7" s="1"/>
  <c r="AT113" i="7"/>
  <c r="AP113" i="7"/>
  <c r="AL113" i="7"/>
  <c r="AX113" i="7" s="1"/>
  <c r="AK113" i="7"/>
  <c r="AJ113" i="7"/>
  <c r="V113" i="7"/>
  <c r="U113" i="7"/>
  <c r="AS113" i="7" s="1"/>
  <c r="S113" i="7"/>
  <c r="Y113" i="7" s="1"/>
  <c r="AW113" i="7" s="1"/>
  <c r="R113" i="7"/>
  <c r="K113" i="7"/>
  <c r="BD112" i="7"/>
  <c r="AW112" i="7"/>
  <c r="AV112" i="7"/>
  <c r="BB112" i="7" s="1"/>
  <c r="BC112" i="7" s="1"/>
  <c r="K112" i="7"/>
  <c r="AZ111" i="7"/>
  <c r="AY111" i="7"/>
  <c r="BD111" i="7" s="1"/>
  <c r="AQ111" i="7"/>
  <c r="AP111" i="7"/>
  <c r="AL111" i="7"/>
  <c r="AX111" i="7" s="1"/>
  <c r="AK111" i="7"/>
  <c r="AJ111" i="7"/>
  <c r="V111" i="7"/>
  <c r="AT111" i="7" s="1"/>
  <c r="U111" i="7"/>
  <c r="AS111" i="7" s="1"/>
  <c r="S111" i="7"/>
  <c r="R111" i="7"/>
  <c r="X111" i="7" s="1"/>
  <c r="AV111" i="7" s="1"/>
  <c r="K111" i="7"/>
  <c r="BD110" i="7"/>
  <c r="AX110" i="7"/>
  <c r="AW110" i="7"/>
  <c r="AV110" i="7"/>
  <c r="AL110" i="7"/>
  <c r="AK110" i="7"/>
  <c r="AJ110" i="7"/>
  <c r="K110" i="7"/>
  <c r="AZ109" i="7"/>
  <c r="AY109" i="7"/>
  <c r="BD109" i="7" s="1"/>
  <c r="AX109" i="7"/>
  <c r="AW109" i="7"/>
  <c r="AQ109" i="7"/>
  <c r="AP109" i="7"/>
  <c r="AV109" i="7" s="1"/>
  <c r="AL109" i="7"/>
  <c r="AK109" i="7"/>
  <c r="AJ109" i="7"/>
  <c r="K109" i="7"/>
  <c r="BD108" i="7"/>
  <c r="AZ108" i="7"/>
  <c r="AY108" i="7"/>
  <c r="AT108" i="7"/>
  <c r="AS108" i="7"/>
  <c r="AQ108" i="7"/>
  <c r="AL108" i="7"/>
  <c r="AX108" i="7" s="1"/>
  <c r="AK108" i="7"/>
  <c r="AW108" i="7" s="1"/>
  <c r="AJ108" i="7"/>
  <c r="Y108" i="7"/>
  <c r="U108" i="7"/>
  <c r="R108" i="7"/>
  <c r="AP108" i="7" s="1"/>
  <c r="K108" i="7"/>
  <c r="AY107" i="7"/>
  <c r="BD107" i="7" s="1"/>
  <c r="AS107" i="7"/>
  <c r="AP107" i="7"/>
  <c r="AL107" i="7"/>
  <c r="AK107" i="7"/>
  <c r="AW107" i="7" s="1"/>
  <c r="AJ107" i="7"/>
  <c r="Z107" i="7"/>
  <c r="Y107" i="7"/>
  <c r="X107" i="7"/>
  <c r="AV107" i="7" s="1"/>
  <c r="BB107" i="7" s="1"/>
  <c r="BC107" i="7" s="1"/>
  <c r="K107" i="7"/>
  <c r="AZ106" i="7"/>
  <c r="AY106" i="7"/>
  <c r="BD106" i="7" s="1"/>
  <c r="AQ106" i="7"/>
  <c r="AL106" i="7"/>
  <c r="AX106" i="7" s="1"/>
  <c r="AK106" i="7"/>
  <c r="AJ106" i="7"/>
  <c r="V106" i="7"/>
  <c r="AT106" i="7" s="1"/>
  <c r="U106" i="7"/>
  <c r="AS106" i="7" s="1"/>
  <c r="S106" i="7"/>
  <c r="R106" i="7"/>
  <c r="AP106" i="7" s="1"/>
  <c r="K106" i="7"/>
  <c r="BA105" i="7"/>
  <c r="AZ105" i="7"/>
  <c r="AY105" i="7"/>
  <c r="AL105" i="7"/>
  <c r="AK105" i="7"/>
  <c r="AJ105" i="7"/>
  <c r="Y105" i="7"/>
  <c r="AW105" i="7" s="1"/>
  <c r="W105" i="7"/>
  <c r="AU105" i="7" s="1"/>
  <c r="V105" i="7"/>
  <c r="AT105" i="7" s="1"/>
  <c r="U105" i="7"/>
  <c r="AS105" i="7" s="1"/>
  <c r="T105" i="7"/>
  <c r="AR105" i="7" s="1"/>
  <c r="S105" i="7"/>
  <c r="AQ105" i="7" s="1"/>
  <c r="R105" i="7"/>
  <c r="K105" i="7"/>
  <c r="BA104" i="7"/>
  <c r="AZ104" i="7"/>
  <c r="AY104" i="7"/>
  <c r="AX104" i="7"/>
  <c r="AW104" i="7"/>
  <c r="AV104" i="7"/>
  <c r="AL104" i="7"/>
  <c r="AK104" i="7"/>
  <c r="AJ104" i="7"/>
  <c r="K104" i="7"/>
  <c r="BD103" i="7"/>
  <c r="BB103" i="7"/>
  <c r="BC103" i="7" s="1"/>
  <c r="AW103" i="7"/>
  <c r="AV103" i="7"/>
  <c r="K103" i="7"/>
  <c r="BD102" i="7"/>
  <c r="AW102" i="7"/>
  <c r="AV102" i="7"/>
  <c r="BB102" i="7" s="1"/>
  <c r="BC102" i="7" s="1"/>
  <c r="K102" i="7"/>
  <c r="AZ101" i="7"/>
  <c r="AY101" i="7"/>
  <c r="AX101" i="7"/>
  <c r="AQ101" i="7"/>
  <c r="AP101" i="7"/>
  <c r="AL101" i="7"/>
  <c r="AK101" i="7"/>
  <c r="AJ101" i="7"/>
  <c r="V101" i="7"/>
  <c r="AT101" i="7" s="1"/>
  <c r="U101" i="7"/>
  <c r="AS101" i="7" s="1"/>
  <c r="S101" i="7"/>
  <c r="R101" i="7"/>
  <c r="K101" i="7"/>
  <c r="BA100" i="7"/>
  <c r="AZ100" i="7"/>
  <c r="AY100" i="7"/>
  <c r="BD100" i="7" s="1"/>
  <c r="AX100" i="7"/>
  <c r="AW100" i="7"/>
  <c r="AV100" i="7"/>
  <c r="BB100" i="7" s="1"/>
  <c r="BC100" i="7" s="1"/>
  <c r="AL100" i="7"/>
  <c r="AK100" i="7"/>
  <c r="AJ100" i="7"/>
  <c r="K100" i="7"/>
  <c r="AZ99" i="7"/>
  <c r="AY99" i="7"/>
  <c r="AT99" i="7"/>
  <c r="AL99" i="7"/>
  <c r="AX99" i="7" s="1"/>
  <c r="AK99" i="7"/>
  <c r="AJ99" i="7"/>
  <c r="Y99" i="7"/>
  <c r="AW99" i="7" s="1"/>
  <c r="V99" i="7"/>
  <c r="U99" i="7"/>
  <c r="AS99" i="7" s="1"/>
  <c r="S99" i="7"/>
  <c r="AQ99" i="7" s="1"/>
  <c r="R99" i="7"/>
  <c r="AP99" i="7" s="1"/>
  <c r="K99" i="7"/>
  <c r="AT98" i="7"/>
  <c r="AN98" i="7"/>
  <c r="AZ98" i="7" s="1"/>
  <c r="AM98" i="7"/>
  <c r="AY98" i="7" s="1"/>
  <c r="AL98" i="7"/>
  <c r="AX98" i="7" s="1"/>
  <c r="AK98" i="7"/>
  <c r="AJ98" i="7"/>
  <c r="V98" i="7"/>
  <c r="U98" i="7"/>
  <c r="AS98" i="7" s="1"/>
  <c r="S98" i="7"/>
  <c r="R98" i="7"/>
  <c r="K98" i="7"/>
  <c r="AZ97" i="7"/>
  <c r="AY97" i="7"/>
  <c r="BD97" i="7" s="1"/>
  <c r="AQ97" i="7"/>
  <c r="AL97" i="7"/>
  <c r="AX97" i="7" s="1"/>
  <c r="AK97" i="7"/>
  <c r="AJ97" i="7"/>
  <c r="V97" i="7"/>
  <c r="AT97" i="7" s="1"/>
  <c r="U97" i="7"/>
  <c r="AS97" i="7" s="1"/>
  <c r="S97" i="7"/>
  <c r="R97" i="7"/>
  <c r="AP97" i="7" s="1"/>
  <c r="K97" i="7"/>
  <c r="BA96" i="7"/>
  <c r="AZ96" i="7"/>
  <c r="AY96" i="7"/>
  <c r="AP96" i="7"/>
  <c r="AL96" i="7"/>
  <c r="AK96" i="7"/>
  <c r="AJ96" i="7"/>
  <c r="Z96" i="7"/>
  <c r="AX96" i="7" s="1"/>
  <c r="W96" i="7"/>
  <c r="AU96" i="7" s="1"/>
  <c r="V96" i="7"/>
  <c r="AT96" i="7" s="1"/>
  <c r="U96" i="7"/>
  <c r="AS96" i="7" s="1"/>
  <c r="T96" i="7"/>
  <c r="AR96" i="7" s="1"/>
  <c r="S96" i="7"/>
  <c r="AQ96" i="7" s="1"/>
  <c r="R96" i="7"/>
  <c r="K96" i="7"/>
  <c r="BD95" i="7"/>
  <c r="AX95" i="7"/>
  <c r="AW95" i="7"/>
  <c r="BB95" i="7" s="1"/>
  <c r="BC95" i="7" s="1"/>
  <c r="AV95" i="7"/>
  <c r="AL95" i="7"/>
  <c r="AK95" i="7"/>
  <c r="AJ95" i="7"/>
  <c r="K95" i="7"/>
  <c r="BD94" i="7"/>
  <c r="AX94" i="7"/>
  <c r="AW94" i="7"/>
  <c r="AV94" i="7"/>
  <c r="AL94" i="7"/>
  <c r="AK94" i="7"/>
  <c r="AJ94" i="7"/>
  <c r="K94" i="7"/>
  <c r="BD93" i="7"/>
  <c r="AX93" i="7"/>
  <c r="BB93" i="7" s="1"/>
  <c r="BC93" i="7" s="1"/>
  <c r="AW93" i="7"/>
  <c r="AV93" i="7"/>
  <c r="AL93" i="7"/>
  <c r="AK93" i="7"/>
  <c r="AJ93" i="7"/>
  <c r="K93" i="7"/>
  <c r="AZ92" i="7"/>
  <c r="BD92" i="7" s="1"/>
  <c r="AY92" i="7"/>
  <c r="AQ92" i="7"/>
  <c r="AL92" i="7"/>
  <c r="AX92" i="7" s="1"/>
  <c r="AK92" i="7"/>
  <c r="AJ92" i="7"/>
  <c r="V92" i="7"/>
  <c r="AT92" i="7" s="1"/>
  <c r="U92" i="7"/>
  <c r="AS92" i="7" s="1"/>
  <c r="S92" i="7"/>
  <c r="R92" i="7"/>
  <c r="AP92" i="7" s="1"/>
  <c r="K92" i="7"/>
  <c r="AZ91" i="7"/>
  <c r="AY91" i="7"/>
  <c r="AX91" i="7"/>
  <c r="AW91" i="7"/>
  <c r="AV91" i="7"/>
  <c r="BB91" i="7" s="1"/>
  <c r="BC91" i="7" s="1"/>
  <c r="AL91" i="7"/>
  <c r="AK91" i="7"/>
  <c r="AJ91" i="7"/>
  <c r="K91" i="7"/>
  <c r="AZ90" i="7"/>
  <c r="AY90" i="7"/>
  <c r="AX90" i="7"/>
  <c r="AW90" i="7"/>
  <c r="AV90" i="7"/>
  <c r="AL90" i="7"/>
  <c r="AK90" i="7"/>
  <c r="AJ90" i="7"/>
  <c r="K90" i="7"/>
  <c r="BD89" i="7"/>
  <c r="BB89" i="7"/>
  <c r="BC89" i="7" s="1"/>
  <c r="AW89" i="7"/>
  <c r="AV89" i="7"/>
  <c r="K89" i="7"/>
  <c r="BD88" i="7"/>
  <c r="AW88" i="7"/>
  <c r="AV88" i="7"/>
  <c r="BB88" i="7" s="1"/>
  <c r="BC88" i="7" s="1"/>
  <c r="K88" i="7"/>
  <c r="BD87" i="7"/>
  <c r="BB87" i="7"/>
  <c r="BC87" i="7" s="1"/>
  <c r="AW87" i="7"/>
  <c r="AV87" i="7"/>
  <c r="K87" i="7"/>
  <c r="BA86" i="7"/>
  <c r="AZ86" i="7"/>
  <c r="AY86" i="7"/>
  <c r="BD86" i="7" s="1"/>
  <c r="AX86" i="7"/>
  <c r="AW86" i="7"/>
  <c r="AV86" i="7"/>
  <c r="AL86" i="7"/>
  <c r="AK86" i="7"/>
  <c r="AJ86" i="7"/>
  <c r="K86" i="7"/>
  <c r="BA85" i="7"/>
  <c r="BD85" i="7" s="1"/>
  <c r="AZ85" i="7"/>
  <c r="AY85" i="7"/>
  <c r="AX85" i="7"/>
  <c r="AW85" i="7"/>
  <c r="AV85" i="7"/>
  <c r="AL85" i="7"/>
  <c r="AK85" i="7"/>
  <c r="AJ85" i="7"/>
  <c r="K85" i="7"/>
  <c r="BD84" i="7"/>
  <c r="AX84" i="7"/>
  <c r="BB84" i="7" s="1"/>
  <c r="BC84" i="7" s="1"/>
  <c r="AW84" i="7"/>
  <c r="AV84" i="7"/>
  <c r="AL84" i="7"/>
  <c r="AK84" i="7"/>
  <c r="AJ84" i="7"/>
  <c r="K84" i="7"/>
  <c r="BA83" i="7"/>
  <c r="BD83" i="7" s="1"/>
  <c r="AZ83" i="7"/>
  <c r="AY83" i="7"/>
  <c r="AL83" i="7"/>
  <c r="AK83" i="7"/>
  <c r="AJ83" i="7"/>
  <c r="W83" i="7"/>
  <c r="AU83" i="7" s="1"/>
  <c r="V83" i="7"/>
  <c r="AT83" i="7" s="1"/>
  <c r="U83" i="7"/>
  <c r="AS83" i="7" s="1"/>
  <c r="T83" i="7"/>
  <c r="S83" i="7"/>
  <c r="AQ83" i="7" s="1"/>
  <c r="R83" i="7"/>
  <c r="AP83" i="7" s="1"/>
  <c r="K83" i="7"/>
  <c r="AZ82" i="7"/>
  <c r="AY82" i="7"/>
  <c r="BD82" i="7" s="1"/>
  <c r="AX82" i="7"/>
  <c r="AW82" i="7"/>
  <c r="AV82" i="7"/>
  <c r="AL82" i="7"/>
  <c r="AK82" i="7"/>
  <c r="AJ82" i="7"/>
  <c r="K82" i="7"/>
  <c r="BD81" i="7"/>
  <c r="AX81" i="7"/>
  <c r="AW81" i="7"/>
  <c r="AV81" i="7"/>
  <c r="AL81" i="7"/>
  <c r="AK81" i="7"/>
  <c r="AJ81" i="7"/>
  <c r="K81" i="7"/>
  <c r="BD80" i="7"/>
  <c r="AX80" i="7"/>
  <c r="AW80" i="7"/>
  <c r="AV80" i="7"/>
  <c r="AL80" i="7"/>
  <c r="AK80" i="7"/>
  <c r="AJ80" i="7"/>
  <c r="K80" i="7"/>
  <c r="AZ79" i="7"/>
  <c r="AY79" i="7"/>
  <c r="AX79" i="7"/>
  <c r="AW79" i="7"/>
  <c r="AV79" i="7"/>
  <c r="AL79" i="7"/>
  <c r="AK79" i="7"/>
  <c r="AJ79" i="7"/>
  <c r="K79" i="7"/>
  <c r="BD78" i="7"/>
  <c r="AX78" i="7"/>
  <c r="AW78" i="7"/>
  <c r="AV78" i="7"/>
  <c r="AL78" i="7"/>
  <c r="AK78" i="7"/>
  <c r="AJ78" i="7"/>
  <c r="K78" i="7"/>
  <c r="AZ77" i="7"/>
  <c r="AY77" i="7"/>
  <c r="BD77" i="7" s="1"/>
  <c r="AX77" i="7"/>
  <c r="AW77" i="7"/>
  <c r="AV77" i="7"/>
  <c r="AL77" i="7"/>
  <c r="AK77" i="7"/>
  <c r="AJ77" i="7"/>
  <c r="K77" i="7"/>
  <c r="BD76" i="7"/>
  <c r="AX76" i="7"/>
  <c r="AW76" i="7"/>
  <c r="AV76" i="7"/>
  <c r="AL76" i="7"/>
  <c r="AK76" i="7"/>
  <c r="AJ76" i="7"/>
  <c r="K76" i="7"/>
  <c r="AZ75" i="7"/>
  <c r="AY75" i="7"/>
  <c r="BD75" i="7" s="1"/>
  <c r="AX75" i="7"/>
  <c r="AW75" i="7"/>
  <c r="AV75" i="7"/>
  <c r="AL75" i="7"/>
  <c r="AK75" i="7"/>
  <c r="AJ75" i="7"/>
  <c r="K75" i="7"/>
  <c r="BD74" i="7"/>
  <c r="AX74" i="7"/>
  <c r="AW74" i="7"/>
  <c r="AV74" i="7"/>
  <c r="BB74" i="7" s="1"/>
  <c r="BC74" i="7" s="1"/>
  <c r="AL74" i="7"/>
  <c r="AK74" i="7"/>
  <c r="AJ74" i="7"/>
  <c r="K74" i="7"/>
  <c r="BD73" i="7"/>
  <c r="AX73" i="7"/>
  <c r="AW73" i="7"/>
  <c r="AP73" i="7"/>
  <c r="AV73" i="7" s="1"/>
  <c r="AL73" i="7"/>
  <c r="AK73" i="7"/>
  <c r="AJ73" i="7"/>
  <c r="K73" i="7"/>
  <c r="BD72" i="7"/>
  <c r="AW72" i="7"/>
  <c r="AV72" i="7"/>
  <c r="BB72" i="7" s="1"/>
  <c r="BC72" i="7" s="1"/>
  <c r="K72" i="7"/>
  <c r="BA71" i="7"/>
  <c r="AZ71" i="7"/>
  <c r="AY71" i="7"/>
  <c r="AX71" i="7"/>
  <c r="AW71" i="7"/>
  <c r="AV71" i="7"/>
  <c r="AL71" i="7"/>
  <c r="AK71" i="7"/>
  <c r="AJ71" i="7"/>
  <c r="K71" i="7"/>
  <c r="AZ70" i="7"/>
  <c r="AY70" i="7"/>
  <c r="BD70" i="7" s="1"/>
  <c r="AX70" i="7"/>
  <c r="AL70" i="7"/>
  <c r="AK70" i="7"/>
  <c r="AJ70" i="7"/>
  <c r="V70" i="7"/>
  <c r="AT70" i="7" s="1"/>
  <c r="U70" i="7"/>
  <c r="AS70" i="7" s="1"/>
  <c r="S70" i="7"/>
  <c r="AQ70" i="7" s="1"/>
  <c r="R70" i="7"/>
  <c r="AP70" i="7" s="1"/>
  <c r="K70" i="7"/>
  <c r="AZ69" i="7"/>
  <c r="BD69" i="7" s="1"/>
  <c r="AY69" i="7"/>
  <c r="AP69" i="7"/>
  <c r="AL69" i="7"/>
  <c r="AX69" i="7" s="1"/>
  <c r="AK69" i="7"/>
  <c r="AJ69" i="7"/>
  <c r="V69" i="7"/>
  <c r="AT69" i="7" s="1"/>
  <c r="U69" i="7"/>
  <c r="AS69" i="7" s="1"/>
  <c r="S69" i="7"/>
  <c r="R69" i="7"/>
  <c r="K69" i="7"/>
  <c r="BD68" i="7"/>
  <c r="AX68" i="7"/>
  <c r="AW68" i="7"/>
  <c r="AV68" i="7"/>
  <c r="BB68" i="7" s="1"/>
  <c r="BC68" i="7" s="1"/>
  <c r="AL68" i="7"/>
  <c r="AK68" i="7"/>
  <c r="AJ68" i="7"/>
  <c r="K68" i="7"/>
  <c r="AZ67" i="7"/>
  <c r="AY67" i="7"/>
  <c r="BD67" i="7" s="1"/>
  <c r="AX67" i="7"/>
  <c r="AW67" i="7"/>
  <c r="BB67" i="7" s="1"/>
  <c r="BC67" i="7" s="1"/>
  <c r="AV67" i="7"/>
  <c r="AL67" i="7"/>
  <c r="AK67" i="7"/>
  <c r="AJ67" i="7"/>
  <c r="K67" i="7"/>
  <c r="AZ66" i="7"/>
  <c r="AY66" i="7"/>
  <c r="AX66" i="7"/>
  <c r="AW66" i="7"/>
  <c r="AV66" i="7"/>
  <c r="AL66" i="7"/>
  <c r="AK66" i="7"/>
  <c r="AJ66" i="7"/>
  <c r="K66" i="7"/>
  <c r="AZ65" i="7"/>
  <c r="AY65" i="7"/>
  <c r="BD65" i="7" s="1"/>
  <c r="AL65" i="7"/>
  <c r="AX65" i="7" s="1"/>
  <c r="AK65" i="7"/>
  <c r="AJ65" i="7"/>
  <c r="V65" i="7"/>
  <c r="AT65" i="7" s="1"/>
  <c r="U65" i="7"/>
  <c r="AS65" i="7" s="1"/>
  <c r="S65" i="7"/>
  <c r="Y65" i="7" s="1"/>
  <c r="AW65" i="7" s="1"/>
  <c r="R65" i="7"/>
  <c r="AP65" i="7" s="1"/>
  <c r="K65" i="7"/>
  <c r="AZ64" i="7"/>
  <c r="BD64" i="7" s="1"/>
  <c r="AY64" i="7"/>
  <c r="AQ64" i="7"/>
  <c r="AL64" i="7"/>
  <c r="AX64" i="7" s="1"/>
  <c r="AK64" i="7"/>
  <c r="AJ64" i="7"/>
  <c r="V64" i="7"/>
  <c r="AT64" i="7" s="1"/>
  <c r="U64" i="7"/>
  <c r="AS64" i="7" s="1"/>
  <c r="S64" i="7"/>
  <c r="R64" i="7"/>
  <c r="AP64" i="7" s="1"/>
  <c r="K64" i="7"/>
  <c r="BD63" i="7"/>
  <c r="AW63" i="7"/>
  <c r="AV63" i="7"/>
  <c r="BB63" i="7" s="1"/>
  <c r="BC63" i="7" s="1"/>
  <c r="K63" i="7"/>
  <c r="AZ62" i="7"/>
  <c r="AY62" i="7"/>
  <c r="BD62" i="7" s="1"/>
  <c r="AX62" i="7"/>
  <c r="AW62" i="7"/>
  <c r="AV62" i="7"/>
  <c r="AL62" i="7"/>
  <c r="AK62" i="7"/>
  <c r="AJ62" i="7"/>
  <c r="K62" i="7"/>
  <c r="AZ61" i="7"/>
  <c r="AY61" i="7"/>
  <c r="BD61" i="7" s="1"/>
  <c r="AX61" i="7"/>
  <c r="AW61" i="7"/>
  <c r="AV61" i="7"/>
  <c r="AL61" i="7"/>
  <c r="AK61" i="7"/>
  <c r="AJ61" i="7"/>
  <c r="K61" i="7"/>
  <c r="BD60" i="7"/>
  <c r="AX60" i="7"/>
  <c r="AW60" i="7"/>
  <c r="AV60" i="7"/>
  <c r="BB60" i="7" s="1"/>
  <c r="BC60" i="7" s="1"/>
  <c r="AL60" i="7"/>
  <c r="AK60" i="7"/>
  <c r="AJ60" i="7"/>
  <c r="K60" i="7"/>
  <c r="AZ59" i="7"/>
  <c r="AY59" i="7"/>
  <c r="AX59" i="7"/>
  <c r="AW59" i="7"/>
  <c r="AV59" i="7"/>
  <c r="AL59" i="7"/>
  <c r="AK59" i="7"/>
  <c r="AJ59" i="7"/>
  <c r="K59" i="7"/>
  <c r="AZ58" i="7"/>
  <c r="AY58" i="7"/>
  <c r="BD58" i="7" s="1"/>
  <c r="AX58" i="7"/>
  <c r="AW58" i="7"/>
  <c r="AV58" i="7"/>
  <c r="AL58" i="7"/>
  <c r="AK58" i="7"/>
  <c r="AJ58" i="7"/>
  <c r="K58" i="7"/>
  <c r="BD57" i="7"/>
  <c r="AX57" i="7"/>
  <c r="AW57" i="7"/>
  <c r="AP57" i="7"/>
  <c r="AV57" i="7" s="1"/>
  <c r="BB57" i="7" s="1"/>
  <c r="BC57" i="7" s="1"/>
  <c r="AL57" i="7"/>
  <c r="AK57" i="7"/>
  <c r="AJ57" i="7"/>
  <c r="K57" i="7"/>
  <c r="AZ56" i="7"/>
  <c r="AY56" i="7"/>
  <c r="BD56" i="7" s="1"/>
  <c r="AX56" i="7"/>
  <c r="AW56" i="7"/>
  <c r="AV56" i="7"/>
  <c r="AL56" i="7"/>
  <c r="AK56" i="7"/>
  <c r="AJ56" i="7"/>
  <c r="K56" i="7"/>
  <c r="BD55" i="7"/>
  <c r="AX55" i="7"/>
  <c r="AW55" i="7"/>
  <c r="AV55" i="7"/>
  <c r="BB55" i="7" s="1"/>
  <c r="BC55" i="7" s="1"/>
  <c r="AL55" i="7"/>
  <c r="AK55" i="7"/>
  <c r="AJ55" i="7"/>
  <c r="K55" i="7"/>
  <c r="AZ54" i="7"/>
  <c r="AY54" i="7"/>
  <c r="AX54" i="7"/>
  <c r="AW54" i="7"/>
  <c r="AV54" i="7"/>
  <c r="AL54" i="7"/>
  <c r="AK54" i="7"/>
  <c r="AJ54" i="7"/>
  <c r="K54" i="7"/>
  <c r="BD53" i="7"/>
  <c r="AX53" i="7"/>
  <c r="AW53" i="7"/>
  <c r="BB53" i="7" s="1"/>
  <c r="BC53" i="7" s="1"/>
  <c r="AV53" i="7"/>
  <c r="AL53" i="7"/>
  <c r="AK53" i="7"/>
  <c r="AJ53" i="7"/>
  <c r="K53" i="7"/>
  <c r="AZ52" i="7"/>
  <c r="AY52" i="7"/>
  <c r="BD52" i="7" s="1"/>
  <c r="AX52" i="7"/>
  <c r="AW52" i="7"/>
  <c r="AV52" i="7"/>
  <c r="AL52" i="7"/>
  <c r="AK52" i="7"/>
  <c r="AJ52" i="7"/>
  <c r="K52" i="7"/>
  <c r="AZ51" i="7"/>
  <c r="AY51" i="7"/>
  <c r="AX51" i="7"/>
  <c r="AW51" i="7"/>
  <c r="AV51" i="7"/>
  <c r="AL51" i="7"/>
  <c r="AK51" i="7"/>
  <c r="AJ51" i="7"/>
  <c r="K51" i="7"/>
  <c r="BD50" i="7"/>
  <c r="AX50" i="7"/>
  <c r="AW50" i="7"/>
  <c r="AP50" i="7"/>
  <c r="AV50" i="7" s="1"/>
  <c r="BB50" i="7" s="1"/>
  <c r="AL50" i="7"/>
  <c r="AK50" i="7"/>
  <c r="AJ50" i="7"/>
  <c r="K50" i="7"/>
  <c r="BD49" i="7"/>
  <c r="AX49" i="7"/>
  <c r="AW49" i="7"/>
  <c r="AV49" i="7"/>
  <c r="AL49" i="7"/>
  <c r="AK49" i="7"/>
  <c r="AJ49" i="7"/>
  <c r="K49" i="7"/>
  <c r="BD48" i="7"/>
  <c r="AX48" i="7"/>
  <c r="AW48" i="7"/>
  <c r="AV48" i="7"/>
  <c r="AL48" i="7"/>
  <c r="AK48" i="7"/>
  <c r="AJ48" i="7"/>
  <c r="K48" i="7"/>
  <c r="BD47" i="7"/>
  <c r="AX47" i="7"/>
  <c r="AW47" i="7"/>
  <c r="AV47" i="7"/>
  <c r="AL47" i="7"/>
  <c r="AK47" i="7"/>
  <c r="AJ47" i="7"/>
  <c r="K47" i="7"/>
  <c r="BD46" i="7"/>
  <c r="BB46" i="7"/>
  <c r="BC46" i="7" s="1"/>
  <c r="AW46" i="7"/>
  <c r="AV46" i="7"/>
  <c r="K46" i="7"/>
  <c r="AZ45" i="7"/>
  <c r="AT45" i="7"/>
  <c r="AS45" i="7"/>
  <c r="AN45" i="7"/>
  <c r="AM45" i="7"/>
  <c r="AL45" i="7"/>
  <c r="AX45" i="7" s="1"/>
  <c r="AK45" i="7"/>
  <c r="AJ45" i="7"/>
  <c r="AC45" i="7"/>
  <c r="AB45" i="7"/>
  <c r="AA45" i="7"/>
  <c r="T45" i="7"/>
  <c r="S45" i="7"/>
  <c r="AQ45" i="7" s="1"/>
  <c r="R45" i="7"/>
  <c r="AP45" i="7" s="1"/>
  <c r="K45" i="7"/>
  <c r="AZ44" i="7"/>
  <c r="AY44" i="7"/>
  <c r="BD44" i="7" s="1"/>
  <c r="AX44" i="7"/>
  <c r="AW44" i="7"/>
  <c r="AV44" i="7"/>
  <c r="AL44" i="7"/>
  <c r="AK44" i="7"/>
  <c r="AJ44" i="7"/>
  <c r="K44" i="7"/>
  <c r="BD43" i="7"/>
  <c r="AX43" i="7"/>
  <c r="AW43" i="7"/>
  <c r="AV43" i="7"/>
  <c r="AL43" i="7"/>
  <c r="AK43" i="7"/>
  <c r="AJ43" i="7"/>
  <c r="K43" i="7"/>
  <c r="BD42" i="7"/>
  <c r="AP42" i="7"/>
  <c r="V42" i="7"/>
  <c r="AT42" i="7" s="1"/>
  <c r="U42" i="7"/>
  <c r="AS42" i="7" s="1"/>
  <c r="S42" i="7"/>
  <c r="AQ42" i="7" s="1"/>
  <c r="R42" i="7"/>
  <c r="K42" i="7"/>
  <c r="BD41" i="7"/>
  <c r="V41" i="7"/>
  <c r="AT41" i="7" s="1"/>
  <c r="U41" i="7"/>
  <c r="AS41" i="7" s="1"/>
  <c r="S41" i="7"/>
  <c r="R41" i="7"/>
  <c r="AP41" i="7" s="1"/>
  <c r="K41" i="7"/>
  <c r="BD40" i="7"/>
  <c r="AQ40" i="7"/>
  <c r="V40" i="7"/>
  <c r="AT40" i="7" s="1"/>
  <c r="U40" i="7"/>
  <c r="AS40" i="7" s="1"/>
  <c r="S40" i="7"/>
  <c r="Y40" i="7" s="1"/>
  <c r="AW40" i="7" s="1"/>
  <c r="R40" i="7"/>
  <c r="AP40" i="7" s="1"/>
  <c r="K40" i="7"/>
  <c r="BD39" i="7"/>
  <c r="AX39" i="7"/>
  <c r="AW39" i="7"/>
  <c r="AV39" i="7"/>
  <c r="AL39" i="7"/>
  <c r="AK39" i="7"/>
  <c r="AJ39" i="7"/>
  <c r="K39" i="7"/>
  <c r="BD38" i="7"/>
  <c r="BB38" i="7"/>
  <c r="BC38" i="7" s="1"/>
  <c r="AW38" i="7"/>
  <c r="AV38" i="7"/>
  <c r="K38" i="7"/>
  <c r="BA37" i="7"/>
  <c r="BD37" i="7" s="1"/>
  <c r="AZ37" i="7"/>
  <c r="AY37" i="7"/>
  <c r="AX37" i="7"/>
  <c r="AW37" i="7"/>
  <c r="AV37" i="7"/>
  <c r="AL37" i="7"/>
  <c r="AK37" i="7"/>
  <c r="AJ37" i="7"/>
  <c r="K37" i="7"/>
  <c r="AT36" i="7"/>
  <c r="AS36" i="7"/>
  <c r="AP36" i="7"/>
  <c r="AL36" i="7"/>
  <c r="AX36" i="7" s="1"/>
  <c r="AK36" i="7"/>
  <c r="AJ36" i="7"/>
  <c r="AB36" i="7"/>
  <c r="AZ36" i="7" s="1"/>
  <c r="AA36" i="7"/>
  <c r="AY36" i="7" s="1"/>
  <c r="S36" i="7"/>
  <c r="Y36" i="7" s="1"/>
  <c r="AW36" i="7" s="1"/>
  <c r="R36" i="7"/>
  <c r="X36" i="7" s="1"/>
  <c r="AV36" i="7" s="1"/>
  <c r="BB36" i="7" s="1"/>
  <c r="BC36" i="7" s="1"/>
  <c r="K36" i="7"/>
  <c r="AZ35" i="7"/>
  <c r="AY35" i="7"/>
  <c r="BD35" i="7" s="1"/>
  <c r="AT35" i="7"/>
  <c r="AS35" i="7"/>
  <c r="AL35" i="7"/>
  <c r="AX35" i="7" s="1"/>
  <c r="AK35" i="7"/>
  <c r="AJ35" i="7"/>
  <c r="X35" i="7"/>
  <c r="AV35" i="7" s="1"/>
  <c r="S35" i="7"/>
  <c r="R35" i="7"/>
  <c r="AP35" i="7" s="1"/>
  <c r="K35" i="7"/>
  <c r="BD34" i="7"/>
  <c r="AW34" i="7"/>
  <c r="AV34" i="7"/>
  <c r="BB34" i="7" s="1"/>
  <c r="BC34" i="7" s="1"/>
  <c r="K34" i="7"/>
  <c r="BA33" i="7"/>
  <c r="AZ33" i="7"/>
  <c r="AY33" i="7"/>
  <c r="AR33" i="7"/>
  <c r="AL33" i="7"/>
  <c r="AK33" i="7"/>
  <c r="AJ33" i="7"/>
  <c r="W33" i="7"/>
  <c r="AU33" i="7" s="1"/>
  <c r="V33" i="7"/>
  <c r="U33" i="7"/>
  <c r="AS33" i="7" s="1"/>
  <c r="T33" i="7"/>
  <c r="Z33" i="7" s="1"/>
  <c r="AX33" i="7" s="1"/>
  <c r="S33" i="7"/>
  <c r="AQ33" i="7" s="1"/>
  <c r="R33" i="7"/>
  <c r="K33" i="7"/>
  <c r="BD32" i="7"/>
  <c r="AW32" i="7"/>
  <c r="AV32" i="7"/>
  <c r="BB32" i="7" s="1"/>
  <c r="BC32" i="7" s="1"/>
  <c r="K32" i="7"/>
  <c r="BD31" i="7"/>
  <c r="AW31" i="7"/>
  <c r="AV31" i="7"/>
  <c r="BB31" i="7" s="1"/>
  <c r="BC31" i="7" s="1"/>
  <c r="K31" i="7"/>
  <c r="BD30" i="7"/>
  <c r="AW30" i="7"/>
  <c r="AV30" i="7"/>
  <c r="BB30" i="7" s="1"/>
  <c r="BC30" i="7" s="1"/>
  <c r="K30" i="7"/>
  <c r="BD29" i="7"/>
  <c r="BB29" i="7"/>
  <c r="BC29" i="7" s="1"/>
  <c r="AW29" i="7"/>
  <c r="AV29" i="7"/>
  <c r="K29" i="7"/>
  <c r="AZ28" i="7"/>
  <c r="BD28" i="7" s="1"/>
  <c r="AY28" i="7"/>
  <c r="AL28" i="7"/>
  <c r="AX28" i="7" s="1"/>
  <c r="AK28" i="7"/>
  <c r="AJ28" i="7"/>
  <c r="V28" i="7"/>
  <c r="AT28" i="7" s="1"/>
  <c r="U28" i="7"/>
  <c r="AS28" i="7" s="1"/>
  <c r="S28" i="7"/>
  <c r="AQ28" i="7" s="1"/>
  <c r="R28" i="7"/>
  <c r="AP28" i="7" s="1"/>
  <c r="K28" i="7"/>
  <c r="BA27" i="7"/>
  <c r="AY27" i="7"/>
  <c r="BD27" i="7" s="1"/>
  <c r="AW27" i="7"/>
  <c r="AL27" i="7"/>
  <c r="AK27" i="7"/>
  <c r="AJ27" i="7"/>
  <c r="W27" i="7"/>
  <c r="AU27" i="7" s="1"/>
  <c r="U27" i="7"/>
  <c r="AS27" i="7" s="1"/>
  <c r="T27" i="7"/>
  <c r="AR27" i="7" s="1"/>
  <c r="R27" i="7"/>
  <c r="AP27" i="7" s="1"/>
  <c r="K27" i="7"/>
  <c r="BD26" i="7"/>
  <c r="BC26" i="7"/>
  <c r="AX26" i="7"/>
  <c r="AW26" i="7"/>
  <c r="AV26" i="7"/>
  <c r="BB26" i="7" s="1"/>
  <c r="AL26" i="7"/>
  <c r="AK26" i="7"/>
  <c r="AJ26" i="7"/>
  <c r="K26" i="7"/>
  <c r="AZ25" i="7"/>
  <c r="AY25" i="7"/>
  <c r="BD25" i="7" s="1"/>
  <c r="AU25" i="7"/>
  <c r="AT25" i="7"/>
  <c r="AS25" i="7"/>
  <c r="AQ25" i="7"/>
  <c r="AM25" i="7"/>
  <c r="AL25" i="7"/>
  <c r="AK25" i="7"/>
  <c r="AD25" i="7"/>
  <c r="AJ25" i="7" s="1"/>
  <c r="Z25" i="7"/>
  <c r="AX25" i="7" s="1"/>
  <c r="Y25" i="7"/>
  <c r="AW25" i="7" s="1"/>
  <c r="R25" i="7"/>
  <c r="AP25" i="7" s="1"/>
  <c r="K25" i="7"/>
  <c r="BD24" i="7"/>
  <c r="AL24" i="7"/>
  <c r="AX24" i="7" s="1"/>
  <c r="AK24" i="7"/>
  <c r="AG24" i="7"/>
  <c r="AS24" i="7" s="1"/>
  <c r="AD24" i="7"/>
  <c r="Z24" i="7"/>
  <c r="Y24" i="7"/>
  <c r="AW24" i="7" s="1"/>
  <c r="X24" i="7"/>
  <c r="K24" i="7"/>
  <c r="BA23" i="7"/>
  <c r="AZ23" i="7"/>
  <c r="BD23" i="7" s="1"/>
  <c r="AY23" i="7"/>
  <c r="AP23" i="7"/>
  <c r="AL23" i="7"/>
  <c r="AK23" i="7"/>
  <c r="AJ23" i="7"/>
  <c r="Y23" i="7"/>
  <c r="AW23" i="7" s="1"/>
  <c r="W23" i="7"/>
  <c r="AU23" i="7" s="1"/>
  <c r="V23" i="7"/>
  <c r="AT23" i="7" s="1"/>
  <c r="U23" i="7"/>
  <c r="AS23" i="7" s="1"/>
  <c r="T23" i="7"/>
  <c r="AR23" i="7" s="1"/>
  <c r="S23" i="7"/>
  <c r="AQ23" i="7" s="1"/>
  <c r="R23" i="7"/>
  <c r="K23" i="7"/>
  <c r="BD22" i="7"/>
  <c r="AW22" i="7"/>
  <c r="AV22" i="7"/>
  <c r="BB22" i="7" s="1"/>
  <c r="BC22" i="7" s="1"/>
  <c r="K22" i="7"/>
  <c r="BD21" i="7"/>
  <c r="AU21" i="7"/>
  <c r="AT21" i="7"/>
  <c r="AS21" i="7"/>
  <c r="AL21" i="7"/>
  <c r="AK21" i="7"/>
  <c r="AJ21" i="7"/>
  <c r="AE21" i="7"/>
  <c r="AQ21" i="7" s="1"/>
  <c r="Z21" i="7"/>
  <c r="AX21" i="7" s="1"/>
  <c r="Y21" i="7"/>
  <c r="AW21" i="7" s="1"/>
  <c r="R21" i="7"/>
  <c r="AP21" i="7" s="1"/>
  <c r="K21" i="7"/>
  <c r="BD20" i="7"/>
  <c r="AX20" i="7"/>
  <c r="AW20" i="7"/>
  <c r="AV20" i="7"/>
  <c r="BB20" i="7" s="1"/>
  <c r="BC20" i="7" s="1"/>
  <c r="AL20" i="7"/>
  <c r="AK20" i="7"/>
  <c r="AJ20" i="7"/>
  <c r="K20" i="7"/>
  <c r="BA19" i="7"/>
  <c r="AZ19" i="7"/>
  <c r="AY19" i="7"/>
  <c r="AL19" i="7"/>
  <c r="AK19" i="7"/>
  <c r="AJ19" i="7"/>
  <c r="W19" i="7"/>
  <c r="AU19" i="7" s="1"/>
  <c r="V19" i="7"/>
  <c r="AT19" i="7" s="1"/>
  <c r="U19" i="7"/>
  <c r="AS19" i="7" s="1"/>
  <c r="T19" i="7"/>
  <c r="AR19" i="7" s="1"/>
  <c r="S19" i="7"/>
  <c r="AQ19" i="7" s="1"/>
  <c r="R19" i="7"/>
  <c r="AP19" i="7" s="1"/>
  <c r="K19" i="7"/>
  <c r="BD18" i="7"/>
  <c r="AX18" i="7"/>
  <c r="BB18" i="7" s="1"/>
  <c r="BC18" i="7" s="1"/>
  <c r="AW18" i="7"/>
  <c r="AV18" i="7"/>
  <c r="AL18" i="7"/>
  <c r="AK18" i="7"/>
  <c r="AJ18" i="7"/>
  <c r="K18" i="7"/>
  <c r="BD17" i="7"/>
  <c r="AX17" i="7"/>
  <c r="AW17" i="7"/>
  <c r="AV17" i="7"/>
  <c r="BB17" i="7" s="1"/>
  <c r="BC17" i="7" s="1"/>
  <c r="AL17" i="7"/>
  <c r="AK17" i="7"/>
  <c r="AJ17" i="7"/>
  <c r="K17" i="7"/>
  <c r="BD16" i="7"/>
  <c r="BB16" i="7"/>
  <c r="BC16" i="7" s="1"/>
  <c r="AX16" i="7"/>
  <c r="AW16" i="7"/>
  <c r="AV16" i="7"/>
  <c r="AL16" i="7"/>
  <c r="AK16" i="7"/>
  <c r="AJ16" i="7"/>
  <c r="K16" i="7"/>
  <c r="BD15" i="7"/>
  <c r="AX15" i="7"/>
  <c r="AW15" i="7"/>
  <c r="AV15" i="7"/>
  <c r="BB15" i="7" s="1"/>
  <c r="BC15" i="7" s="1"/>
  <c r="AL15" i="7"/>
  <c r="AK15" i="7"/>
  <c r="AJ15" i="7"/>
  <c r="K15" i="7"/>
  <c r="AZ14" i="7"/>
  <c r="AY14" i="7"/>
  <c r="AU14" i="7"/>
  <c r="AS14" i="7"/>
  <c r="AR14" i="7"/>
  <c r="AL14" i="7"/>
  <c r="AX14" i="7" s="1"/>
  <c r="AK14" i="7"/>
  <c r="AJ14" i="7"/>
  <c r="V14" i="7"/>
  <c r="AT14" i="7" s="1"/>
  <c r="U14" i="7"/>
  <c r="S14" i="7"/>
  <c r="AQ14" i="7" s="1"/>
  <c r="R14" i="7"/>
  <c r="AP14" i="7" s="1"/>
  <c r="K14" i="7"/>
  <c r="AZ13" i="7"/>
  <c r="AY13" i="7"/>
  <c r="AU13" i="7"/>
  <c r="AT13" i="7"/>
  <c r="AS13" i="7"/>
  <c r="AR13" i="7"/>
  <c r="AQ13" i="7"/>
  <c r="AP13" i="7"/>
  <c r="AL13" i="7"/>
  <c r="AX13" i="7" s="1"/>
  <c r="AK13" i="7"/>
  <c r="AW13" i="7" s="1"/>
  <c r="AJ13" i="7"/>
  <c r="Y13" i="7"/>
  <c r="X13" i="7"/>
  <c r="AV13" i="7" s="1"/>
  <c r="K13" i="7"/>
  <c r="BA12" i="7"/>
  <c r="AZ12" i="7"/>
  <c r="AY12" i="7"/>
  <c r="AL12" i="7"/>
  <c r="AK12" i="7"/>
  <c r="AJ12" i="7"/>
  <c r="W12" i="7"/>
  <c r="AU12" i="7" s="1"/>
  <c r="V12" i="7"/>
  <c r="AT12" i="7" s="1"/>
  <c r="U12" i="7"/>
  <c r="AS12" i="7" s="1"/>
  <c r="T12" i="7"/>
  <c r="AR12" i="7" s="1"/>
  <c r="S12" i="7"/>
  <c r="AQ12" i="7" s="1"/>
  <c r="R12" i="7"/>
  <c r="AP12" i="7" s="1"/>
  <c r="K12" i="7"/>
  <c r="BD11" i="7"/>
  <c r="AU11" i="7"/>
  <c r="AT11" i="7"/>
  <c r="AS11" i="7"/>
  <c r="AR11" i="7"/>
  <c r="AQ11" i="7"/>
  <c r="AP11" i="7"/>
  <c r="AL11" i="7"/>
  <c r="AK11" i="7"/>
  <c r="AJ11" i="7"/>
  <c r="Z11" i="7"/>
  <c r="AX11" i="7" s="1"/>
  <c r="Y11" i="7"/>
  <c r="X11" i="7"/>
  <c r="K11" i="7"/>
  <c r="BD10" i="7"/>
  <c r="AU10" i="7"/>
  <c r="AT10" i="7"/>
  <c r="AS10" i="7"/>
  <c r="AR10" i="7"/>
  <c r="AQ10" i="7"/>
  <c r="AP10" i="7"/>
  <c r="AL10" i="7"/>
  <c r="AX10" i="7" s="1"/>
  <c r="AK10" i="7"/>
  <c r="AJ10" i="7"/>
  <c r="Z10" i="7"/>
  <c r="Y10" i="7"/>
  <c r="X10" i="7"/>
  <c r="AV10" i="7" s="1"/>
  <c r="BB10" i="7" s="1"/>
  <c r="BC10" i="7" s="1"/>
  <c r="K10" i="7"/>
  <c r="BD9" i="7"/>
  <c r="BC9" i="7"/>
  <c r="AW9" i="7"/>
  <c r="AV9" i="7"/>
  <c r="BB9" i="7" s="1"/>
  <c r="K9" i="7"/>
  <c r="AY8" i="7"/>
  <c r="BD8" i="7" s="1"/>
  <c r="AX8" i="7"/>
  <c r="AW8" i="7"/>
  <c r="AV8" i="7"/>
  <c r="AL8" i="7"/>
  <c r="AK8" i="7"/>
  <c r="AJ8" i="7"/>
  <c r="K8" i="7"/>
  <c r="AZ7" i="7"/>
  <c r="AY7" i="7"/>
  <c r="BD7" i="7" s="1"/>
  <c r="AU7" i="7"/>
  <c r="AR7" i="7"/>
  <c r="AQ7" i="7"/>
  <c r="AL7" i="7"/>
  <c r="AX7" i="7" s="1"/>
  <c r="AK7" i="7"/>
  <c r="AJ7" i="7"/>
  <c r="V7" i="7"/>
  <c r="AT7" i="7" s="1"/>
  <c r="U7" i="7"/>
  <c r="AS7" i="7" s="1"/>
  <c r="S7" i="7"/>
  <c r="Y7" i="7" s="1"/>
  <c r="AW7" i="7" s="1"/>
  <c r="R7" i="7"/>
  <c r="X7" i="7" s="1"/>
  <c r="AV7" i="7" s="1"/>
  <c r="K7" i="7"/>
  <c r="BD6" i="7"/>
  <c r="AW6" i="7"/>
  <c r="AV6" i="7"/>
  <c r="BB6" i="7" s="1"/>
  <c r="K6" i="7"/>
  <c r="BA5" i="7"/>
  <c r="AZ5" i="7"/>
  <c r="AY5" i="7"/>
  <c r="BD5" i="7" s="1"/>
  <c r="AX5" i="7"/>
  <c r="AW5" i="7"/>
  <c r="AV5" i="7"/>
  <c r="AL5" i="7"/>
  <c r="AK5" i="7"/>
  <c r="AJ5" i="7"/>
  <c r="K5" i="7"/>
  <c r="BD4" i="7"/>
  <c r="AZ4" i="7"/>
  <c r="AY4" i="7"/>
  <c r="AX4" i="7"/>
  <c r="AU4" i="7"/>
  <c r="AR4" i="7"/>
  <c r="AK4" i="7"/>
  <c r="AJ4" i="7"/>
  <c r="V4" i="7"/>
  <c r="AT4" i="7" s="1"/>
  <c r="U4" i="7"/>
  <c r="AS4" i="7" s="1"/>
  <c r="S4" i="7"/>
  <c r="AQ4" i="7" s="1"/>
  <c r="R4" i="7"/>
  <c r="AP4" i="7" s="1"/>
  <c r="K4" i="7"/>
  <c r="L108" i="6"/>
  <c r="D108" i="6"/>
  <c r="D110" i="6" s="1"/>
  <c r="D111" i="6" s="1"/>
  <c r="BD107" i="6"/>
  <c r="AS107" i="6"/>
  <c r="AP107" i="6"/>
  <c r="AL107" i="6"/>
  <c r="AK107" i="6"/>
  <c r="AJ107" i="6"/>
  <c r="Y107" i="6"/>
  <c r="X107" i="6"/>
  <c r="AV107" i="6" s="1"/>
  <c r="BB107" i="6" s="1"/>
  <c r="K107" i="6"/>
  <c r="AZ106" i="6"/>
  <c r="AY106" i="6"/>
  <c r="AT106" i="6"/>
  <c r="AS106" i="6"/>
  <c r="AQ106" i="6"/>
  <c r="AP106" i="6"/>
  <c r="AL106" i="6"/>
  <c r="AK106" i="6"/>
  <c r="AJ106" i="6"/>
  <c r="Y106" i="6"/>
  <c r="X106" i="6"/>
  <c r="K106" i="6"/>
  <c r="AZ105" i="6"/>
  <c r="BD105" i="6" s="1"/>
  <c r="AY105" i="6"/>
  <c r="AT105" i="6"/>
  <c r="AS105" i="6"/>
  <c r="AQ105" i="6"/>
  <c r="AP105" i="6"/>
  <c r="AL105" i="6"/>
  <c r="AK105" i="6"/>
  <c r="AW105" i="6" s="1"/>
  <c r="AJ105" i="6"/>
  <c r="Y105" i="6"/>
  <c r="X105" i="6"/>
  <c r="K105" i="6"/>
  <c r="BD104" i="6"/>
  <c r="AW104" i="6"/>
  <c r="AV104" i="6"/>
  <c r="BB104" i="6" s="1"/>
  <c r="BC104" i="6" s="1"/>
  <c r="AL104" i="6"/>
  <c r="AK104" i="6"/>
  <c r="AJ104" i="6"/>
  <c r="K104" i="6"/>
  <c r="AZ103" i="6"/>
  <c r="AY103" i="6"/>
  <c r="AT103" i="6"/>
  <c r="AS103" i="6"/>
  <c r="AQ103" i="6"/>
  <c r="AW103" i="6" s="1"/>
  <c r="AP103" i="6"/>
  <c r="AL103" i="6"/>
  <c r="AK103" i="6"/>
  <c r="AJ103" i="6"/>
  <c r="K103" i="6"/>
  <c r="AZ102" i="6"/>
  <c r="AY102" i="6"/>
  <c r="AT102" i="6"/>
  <c r="AS102" i="6"/>
  <c r="AQ102" i="6"/>
  <c r="AP102" i="6"/>
  <c r="AL102" i="6"/>
  <c r="AK102" i="6"/>
  <c r="AJ102" i="6"/>
  <c r="Y102" i="6"/>
  <c r="X102" i="6"/>
  <c r="AV102" i="6" s="1"/>
  <c r="K102" i="6"/>
  <c r="AZ101" i="6"/>
  <c r="AY101" i="6"/>
  <c r="BD101" i="6" s="1"/>
  <c r="AT101" i="6"/>
  <c r="AS101" i="6"/>
  <c r="AQ101" i="6"/>
  <c r="AP101" i="6"/>
  <c r="AL101" i="6"/>
  <c r="AK101" i="6"/>
  <c r="AJ101" i="6"/>
  <c r="Y101" i="6"/>
  <c r="AW101" i="6" s="1"/>
  <c r="X101" i="6"/>
  <c r="AV101" i="6" s="1"/>
  <c r="K101" i="6"/>
  <c r="AY100" i="6"/>
  <c r="BD100" i="6" s="1"/>
  <c r="AS100" i="6"/>
  <c r="AP100" i="6"/>
  <c r="AL100" i="6"/>
  <c r="AK100" i="6"/>
  <c r="AJ100" i="6"/>
  <c r="Z100" i="6"/>
  <c r="Y100" i="6"/>
  <c r="X100" i="6"/>
  <c r="K100" i="6"/>
  <c r="BA99" i="6"/>
  <c r="AZ99" i="6"/>
  <c r="AY99" i="6"/>
  <c r="AX99" i="6"/>
  <c r="AW99" i="6"/>
  <c r="AV99" i="6"/>
  <c r="AL99" i="6"/>
  <c r="AK99" i="6"/>
  <c r="AJ99" i="6"/>
  <c r="K99" i="6"/>
  <c r="BA98" i="6"/>
  <c r="AZ98" i="6"/>
  <c r="AY98" i="6"/>
  <c r="AU98" i="6"/>
  <c r="AT98" i="6"/>
  <c r="AS98" i="6"/>
  <c r="AR98" i="6"/>
  <c r="AQ98" i="6"/>
  <c r="AP98" i="6"/>
  <c r="AL98" i="6"/>
  <c r="AK98" i="6"/>
  <c r="AJ98" i="6"/>
  <c r="Z98" i="6"/>
  <c r="Y98" i="6"/>
  <c r="X98" i="6"/>
  <c r="K98" i="6"/>
  <c r="BD97" i="6"/>
  <c r="AV97" i="6"/>
  <c r="BB97" i="6" s="1"/>
  <c r="BC97" i="6" s="1"/>
  <c r="K97" i="6"/>
  <c r="BD96" i="6"/>
  <c r="AS96" i="6"/>
  <c r="AV96" i="6" s="1"/>
  <c r="BB96" i="6" s="1"/>
  <c r="BC96" i="6" s="1"/>
  <c r="K96" i="6"/>
  <c r="BA95" i="6"/>
  <c r="AZ95" i="6"/>
  <c r="AY95" i="6"/>
  <c r="AX95" i="6"/>
  <c r="AW95" i="6"/>
  <c r="AV95" i="6"/>
  <c r="AL95" i="6"/>
  <c r="AK95" i="6"/>
  <c r="AJ95" i="6"/>
  <c r="K95" i="6"/>
  <c r="AT94" i="6"/>
  <c r="AS94" i="6"/>
  <c r="AQ94" i="6"/>
  <c r="AP94" i="6"/>
  <c r="AN94" i="6"/>
  <c r="AM94" i="6"/>
  <c r="AL94" i="6"/>
  <c r="AK94" i="6"/>
  <c r="AJ94" i="6"/>
  <c r="AB94" i="6"/>
  <c r="AA94" i="6"/>
  <c r="Y94" i="6"/>
  <c r="AW94" i="6" s="1"/>
  <c r="X94" i="6"/>
  <c r="AV94" i="6" s="1"/>
  <c r="K94" i="6"/>
  <c r="AZ93" i="6"/>
  <c r="AY93" i="6"/>
  <c r="AT93" i="6"/>
  <c r="AS93" i="6"/>
  <c r="AQ93" i="6"/>
  <c r="AP93" i="6"/>
  <c r="AL93" i="6"/>
  <c r="AK93" i="6"/>
  <c r="AJ93" i="6"/>
  <c r="Y93" i="6"/>
  <c r="X93" i="6"/>
  <c r="K93" i="6"/>
  <c r="AZ92" i="6"/>
  <c r="AY92" i="6"/>
  <c r="AT92" i="6"/>
  <c r="AS92" i="6"/>
  <c r="AQ92" i="6"/>
  <c r="AP92" i="6"/>
  <c r="AL92" i="6"/>
  <c r="AK92" i="6"/>
  <c r="AJ92" i="6"/>
  <c r="Y92" i="6"/>
  <c r="X92" i="6"/>
  <c r="K92" i="6"/>
  <c r="AZ91" i="6"/>
  <c r="AY91" i="6"/>
  <c r="BD91" i="6" s="1"/>
  <c r="AT91" i="6"/>
  <c r="AS91" i="6"/>
  <c r="AQ91" i="6"/>
  <c r="AP91" i="6"/>
  <c r="AL91" i="6"/>
  <c r="AK91" i="6"/>
  <c r="AJ91" i="6"/>
  <c r="Y91" i="6"/>
  <c r="X91" i="6"/>
  <c r="K91" i="6"/>
  <c r="BA90" i="6"/>
  <c r="AZ90" i="6"/>
  <c r="AY90" i="6"/>
  <c r="AU90" i="6"/>
  <c r="AT90" i="6"/>
  <c r="AS90" i="6"/>
  <c r="AR90" i="6"/>
  <c r="AQ90" i="6"/>
  <c r="AP90" i="6"/>
  <c r="AL90" i="6"/>
  <c r="AK90" i="6"/>
  <c r="AJ90" i="6"/>
  <c r="Z90" i="6"/>
  <c r="Y90" i="6"/>
  <c r="X90" i="6"/>
  <c r="K90" i="6"/>
  <c r="BD89" i="6"/>
  <c r="AW89" i="6"/>
  <c r="AV89" i="6"/>
  <c r="AL89" i="6"/>
  <c r="AK89" i="6"/>
  <c r="AJ89" i="6"/>
  <c r="K89" i="6"/>
  <c r="BD88" i="6"/>
  <c r="AW88" i="6"/>
  <c r="AV88" i="6"/>
  <c r="BB88" i="6" s="1"/>
  <c r="BC88" i="6" s="1"/>
  <c r="AL88" i="6"/>
  <c r="AK88" i="6"/>
  <c r="AJ88" i="6"/>
  <c r="K88" i="6"/>
  <c r="BD87" i="6"/>
  <c r="AQ87" i="6"/>
  <c r="AW87" i="6" s="1"/>
  <c r="AP87" i="6"/>
  <c r="AV87" i="6" s="1"/>
  <c r="AL87" i="6"/>
  <c r="AK87" i="6"/>
  <c r="AJ87" i="6"/>
  <c r="K87" i="6"/>
  <c r="AZ86" i="6"/>
  <c r="AY86" i="6"/>
  <c r="AT86" i="6"/>
  <c r="AS86" i="6"/>
  <c r="AQ86" i="6"/>
  <c r="AP86" i="6"/>
  <c r="AL86" i="6"/>
  <c r="AK86" i="6"/>
  <c r="AJ86" i="6"/>
  <c r="Y86" i="6"/>
  <c r="X86" i="6"/>
  <c r="K86" i="6"/>
  <c r="AZ85" i="6"/>
  <c r="AY85" i="6"/>
  <c r="AW85" i="6"/>
  <c r="AV85" i="6"/>
  <c r="AL85" i="6"/>
  <c r="AK85" i="6"/>
  <c r="AJ85" i="6"/>
  <c r="K85" i="6"/>
  <c r="AZ84" i="6"/>
  <c r="AY84" i="6"/>
  <c r="AW84" i="6"/>
  <c r="AV84" i="6"/>
  <c r="AL84" i="6"/>
  <c r="AK84" i="6"/>
  <c r="AJ84" i="6"/>
  <c r="K84" i="6"/>
  <c r="BD83" i="6"/>
  <c r="AS83" i="6"/>
  <c r="AV83" i="6" s="1"/>
  <c r="BB83" i="6" s="1"/>
  <c r="BC83" i="6" s="1"/>
  <c r="K83" i="6"/>
  <c r="BD82" i="6"/>
  <c r="AS82" i="6"/>
  <c r="AV82" i="6" s="1"/>
  <c r="BB82" i="6" s="1"/>
  <c r="BC82" i="6" s="1"/>
  <c r="K82" i="6"/>
  <c r="BD81" i="6"/>
  <c r="AS81" i="6"/>
  <c r="AV81" i="6" s="1"/>
  <c r="BB81" i="6" s="1"/>
  <c r="BC81" i="6" s="1"/>
  <c r="K81" i="6"/>
  <c r="BA80" i="6"/>
  <c r="AZ80" i="6"/>
  <c r="AY80" i="6"/>
  <c r="AX80" i="6"/>
  <c r="AW80" i="6"/>
  <c r="AV80" i="6"/>
  <c r="AL80" i="6"/>
  <c r="AK80" i="6"/>
  <c r="AJ80" i="6"/>
  <c r="K80" i="6"/>
  <c r="BA79" i="6"/>
  <c r="AZ79" i="6"/>
  <c r="AY79" i="6"/>
  <c r="AX79" i="6"/>
  <c r="AW79" i="6"/>
  <c r="AV79" i="6"/>
  <c r="AL79" i="6"/>
  <c r="AK79" i="6"/>
  <c r="AJ79" i="6"/>
  <c r="K79" i="6"/>
  <c r="BD78" i="6"/>
  <c r="AW78" i="6"/>
  <c r="AV78" i="6"/>
  <c r="AL78" i="6"/>
  <c r="AK78" i="6"/>
  <c r="AJ78" i="6"/>
  <c r="K78" i="6"/>
  <c r="BA77" i="6"/>
  <c r="AZ77" i="6"/>
  <c r="AY77" i="6"/>
  <c r="AU77" i="6"/>
  <c r="AT77" i="6"/>
  <c r="AS77" i="6"/>
  <c r="AR77" i="6"/>
  <c r="AQ77" i="6"/>
  <c r="AP77" i="6"/>
  <c r="AL77" i="6"/>
  <c r="AK77" i="6"/>
  <c r="AJ77" i="6"/>
  <c r="Z77" i="6"/>
  <c r="Y77" i="6"/>
  <c r="X77" i="6"/>
  <c r="K77" i="6"/>
  <c r="AZ76" i="6"/>
  <c r="AY76" i="6"/>
  <c r="AW76" i="6"/>
  <c r="AV76" i="6"/>
  <c r="AL76" i="6"/>
  <c r="AK76" i="6"/>
  <c r="AJ76" i="6"/>
  <c r="K76" i="6"/>
  <c r="BD75" i="6"/>
  <c r="AW75" i="6"/>
  <c r="AV75" i="6"/>
  <c r="AL75" i="6"/>
  <c r="AK75" i="6"/>
  <c r="AJ75" i="6"/>
  <c r="K75" i="6"/>
  <c r="BD74" i="6"/>
  <c r="AW74" i="6"/>
  <c r="AV74" i="6"/>
  <c r="AL74" i="6"/>
  <c r="AK74" i="6"/>
  <c r="AJ74" i="6"/>
  <c r="K74" i="6"/>
  <c r="AZ73" i="6"/>
  <c r="AY73" i="6"/>
  <c r="AW73" i="6"/>
  <c r="AV73" i="6"/>
  <c r="BB73" i="6" s="1"/>
  <c r="BC73" i="6" s="1"/>
  <c r="AL73" i="6"/>
  <c r="AK73" i="6"/>
  <c r="AJ73" i="6"/>
  <c r="K73" i="6"/>
  <c r="BD72" i="6"/>
  <c r="AX72" i="6"/>
  <c r="AW72" i="6"/>
  <c r="AV72" i="6"/>
  <c r="AL72" i="6"/>
  <c r="AK72" i="6"/>
  <c r="AJ72" i="6"/>
  <c r="K72" i="6"/>
  <c r="AZ71" i="6"/>
  <c r="AY71" i="6"/>
  <c r="AW71" i="6"/>
  <c r="AV71" i="6"/>
  <c r="BB71" i="6" s="1"/>
  <c r="BC71" i="6" s="1"/>
  <c r="AL71" i="6"/>
  <c r="AK71" i="6"/>
  <c r="AJ71" i="6"/>
  <c r="K71" i="6"/>
  <c r="AZ70" i="6"/>
  <c r="AY70" i="6"/>
  <c r="AW70" i="6"/>
  <c r="AV70" i="6"/>
  <c r="BB70" i="6" s="1"/>
  <c r="BC70" i="6" s="1"/>
  <c r="AL70" i="6"/>
  <c r="AK70" i="6"/>
  <c r="AJ70" i="6"/>
  <c r="K70" i="6"/>
  <c r="AZ69" i="6"/>
  <c r="AY69" i="6"/>
  <c r="AW69" i="6"/>
  <c r="AV69" i="6"/>
  <c r="AL69" i="6"/>
  <c r="AK69" i="6"/>
  <c r="AJ69" i="6"/>
  <c r="K69" i="6"/>
  <c r="BD68" i="6"/>
  <c r="AW68" i="6"/>
  <c r="AV68" i="6"/>
  <c r="AL68" i="6"/>
  <c r="AK68" i="6"/>
  <c r="AJ68" i="6"/>
  <c r="K68" i="6"/>
  <c r="BD67" i="6"/>
  <c r="AX67" i="6"/>
  <c r="AW67" i="6"/>
  <c r="AV67" i="6"/>
  <c r="AL67" i="6"/>
  <c r="AK67" i="6"/>
  <c r="AJ67" i="6"/>
  <c r="K67" i="6"/>
  <c r="BD66" i="6"/>
  <c r="AS66" i="6"/>
  <c r="AV66" i="6" s="1"/>
  <c r="BB66" i="6" s="1"/>
  <c r="BC66" i="6" s="1"/>
  <c r="K66" i="6"/>
  <c r="BA65" i="6"/>
  <c r="AZ65" i="6"/>
  <c r="AY65" i="6"/>
  <c r="AX65" i="6"/>
  <c r="AW65" i="6"/>
  <c r="AV65" i="6"/>
  <c r="AL65" i="6"/>
  <c r="AK65" i="6"/>
  <c r="AJ65" i="6"/>
  <c r="K65" i="6"/>
  <c r="AZ64" i="6"/>
  <c r="AY64" i="6"/>
  <c r="AT64" i="6"/>
  <c r="AS64" i="6"/>
  <c r="AQ64" i="6"/>
  <c r="AP64" i="6"/>
  <c r="AL64" i="6"/>
  <c r="AK64" i="6"/>
  <c r="AJ64" i="6"/>
  <c r="Y64" i="6"/>
  <c r="X64" i="6"/>
  <c r="K64" i="6"/>
  <c r="AZ63" i="6"/>
  <c r="AY63" i="6"/>
  <c r="BD63" i="6" s="1"/>
  <c r="AT63" i="6"/>
  <c r="AS63" i="6"/>
  <c r="AQ63" i="6"/>
  <c r="AP63" i="6"/>
  <c r="AL63" i="6"/>
  <c r="AK63" i="6"/>
  <c r="AJ63" i="6"/>
  <c r="Y63" i="6"/>
  <c r="X63" i="6"/>
  <c r="K63" i="6"/>
  <c r="BD62" i="6"/>
  <c r="AW62" i="6"/>
  <c r="AV62" i="6"/>
  <c r="AL62" i="6"/>
  <c r="AK62" i="6"/>
  <c r="AJ62" i="6"/>
  <c r="K62" i="6"/>
  <c r="AZ61" i="6"/>
  <c r="BD61" i="6" s="1"/>
  <c r="AY61" i="6"/>
  <c r="AW61" i="6"/>
  <c r="AV61" i="6"/>
  <c r="AL61" i="6"/>
  <c r="AK61" i="6"/>
  <c r="AJ61" i="6"/>
  <c r="K61" i="6"/>
  <c r="BD60" i="6"/>
  <c r="AZ60" i="6"/>
  <c r="AY60" i="6"/>
  <c r="AW60" i="6"/>
  <c r="AV60" i="6"/>
  <c r="AL60" i="6"/>
  <c r="AK60" i="6"/>
  <c r="AJ60" i="6"/>
  <c r="K60" i="6"/>
  <c r="AZ59" i="6"/>
  <c r="AY59" i="6"/>
  <c r="BD59" i="6" s="1"/>
  <c r="AT59" i="6"/>
  <c r="AS59" i="6"/>
  <c r="AQ59" i="6"/>
  <c r="AP59" i="6"/>
  <c r="AL59" i="6"/>
  <c r="AK59" i="6"/>
  <c r="AJ59" i="6"/>
  <c r="Y59" i="6"/>
  <c r="X59" i="6"/>
  <c r="K59" i="6"/>
  <c r="AZ58" i="6"/>
  <c r="AY58" i="6"/>
  <c r="AT58" i="6"/>
  <c r="AS58" i="6"/>
  <c r="AQ58" i="6"/>
  <c r="AP58" i="6"/>
  <c r="AL58" i="6"/>
  <c r="AK58" i="6"/>
  <c r="AW58" i="6" s="1"/>
  <c r="AJ58" i="6"/>
  <c r="Y58" i="6"/>
  <c r="X58" i="6"/>
  <c r="K58" i="6"/>
  <c r="AZ57" i="6"/>
  <c r="AY57" i="6"/>
  <c r="AW57" i="6"/>
  <c r="AV57" i="6"/>
  <c r="AL57" i="6"/>
  <c r="AK57" i="6"/>
  <c r="AJ57" i="6"/>
  <c r="K57" i="6"/>
  <c r="AZ56" i="6"/>
  <c r="AY56" i="6"/>
  <c r="AW56" i="6"/>
  <c r="AV56" i="6"/>
  <c r="AL56" i="6"/>
  <c r="AK56" i="6"/>
  <c r="AJ56" i="6"/>
  <c r="K56" i="6"/>
  <c r="BD55" i="6"/>
  <c r="AV55" i="6"/>
  <c r="BB55" i="6" s="1"/>
  <c r="BC55" i="6" s="1"/>
  <c r="AL55" i="6"/>
  <c r="AK55" i="6"/>
  <c r="AJ55" i="6"/>
  <c r="K55" i="6"/>
  <c r="AZ54" i="6"/>
  <c r="AY54" i="6"/>
  <c r="AW54" i="6"/>
  <c r="AV54" i="6"/>
  <c r="AL54" i="6"/>
  <c r="AK54" i="6"/>
  <c r="AJ54" i="6"/>
  <c r="K54" i="6"/>
  <c r="AZ53" i="6"/>
  <c r="AY53" i="6"/>
  <c r="AW53" i="6"/>
  <c r="AV53" i="6"/>
  <c r="AL53" i="6"/>
  <c r="AK53" i="6"/>
  <c r="AJ53" i="6"/>
  <c r="K53" i="6"/>
  <c r="BD52" i="6"/>
  <c r="AP52" i="6"/>
  <c r="AV52" i="6" s="1"/>
  <c r="BB52" i="6" s="1"/>
  <c r="BC52" i="6" s="1"/>
  <c r="AL52" i="6"/>
  <c r="AK52" i="6"/>
  <c r="AJ52" i="6"/>
  <c r="K52" i="6"/>
  <c r="AZ51" i="6"/>
  <c r="AY51" i="6"/>
  <c r="AW51" i="6"/>
  <c r="AV51" i="6"/>
  <c r="AL51" i="6"/>
  <c r="AK51" i="6"/>
  <c r="AJ51" i="6"/>
  <c r="K51" i="6"/>
  <c r="BD50" i="6"/>
  <c r="AX50" i="6"/>
  <c r="AV50" i="6"/>
  <c r="AL50" i="6"/>
  <c r="AK50" i="6"/>
  <c r="AJ50" i="6"/>
  <c r="K50" i="6"/>
  <c r="AZ49" i="6"/>
  <c r="AY49" i="6"/>
  <c r="AW49" i="6"/>
  <c r="AV49" i="6"/>
  <c r="AL49" i="6"/>
  <c r="AK49" i="6"/>
  <c r="AJ49" i="6"/>
  <c r="K49" i="6"/>
  <c r="BD48" i="6"/>
  <c r="AX48" i="6"/>
  <c r="AW48" i="6"/>
  <c r="AV48" i="6"/>
  <c r="AL48" i="6"/>
  <c r="AK48" i="6"/>
  <c r="AJ48" i="6"/>
  <c r="K48" i="6"/>
  <c r="AZ47" i="6"/>
  <c r="AY47" i="6"/>
  <c r="AW47" i="6"/>
  <c r="AV47" i="6"/>
  <c r="AL47" i="6"/>
  <c r="AK47" i="6"/>
  <c r="AJ47" i="6"/>
  <c r="K47" i="6"/>
  <c r="AZ46" i="6"/>
  <c r="AY46" i="6"/>
  <c r="AW46" i="6"/>
  <c r="AV46" i="6"/>
  <c r="AL46" i="6"/>
  <c r="AK46" i="6"/>
  <c r="AJ46" i="6"/>
  <c r="K46" i="6"/>
  <c r="BD45" i="6"/>
  <c r="AX45" i="6"/>
  <c r="AW45" i="6"/>
  <c r="AP45" i="6"/>
  <c r="AV45" i="6" s="1"/>
  <c r="AL45" i="6"/>
  <c r="AK45" i="6"/>
  <c r="AJ45" i="6"/>
  <c r="K45" i="6"/>
  <c r="BD44" i="6"/>
  <c r="AW44" i="6"/>
  <c r="AV44" i="6"/>
  <c r="AL44" i="6"/>
  <c r="AK44" i="6"/>
  <c r="AJ44" i="6"/>
  <c r="K44" i="6"/>
  <c r="BD43" i="6"/>
  <c r="AW43" i="6"/>
  <c r="AV43" i="6"/>
  <c r="AL43" i="6"/>
  <c r="AK43" i="6"/>
  <c r="AJ43" i="6"/>
  <c r="K43" i="6"/>
  <c r="BD42" i="6"/>
  <c r="AW42" i="6"/>
  <c r="AV42" i="6"/>
  <c r="BB42" i="6" s="1"/>
  <c r="BC42" i="6" s="1"/>
  <c r="AL42" i="6"/>
  <c r="AK42" i="6"/>
  <c r="AJ42" i="6"/>
  <c r="K42" i="6"/>
  <c r="BD41" i="6"/>
  <c r="AS41" i="6"/>
  <c r="AV41" i="6" s="1"/>
  <c r="BB41" i="6" s="1"/>
  <c r="BC41" i="6" s="1"/>
  <c r="K41" i="6"/>
  <c r="AT40" i="6"/>
  <c r="AS40" i="6"/>
  <c r="AQ40" i="6"/>
  <c r="AP40" i="6"/>
  <c r="AN40" i="6"/>
  <c r="AM40" i="6"/>
  <c r="AL40" i="6"/>
  <c r="AK40" i="6"/>
  <c r="AJ40" i="6"/>
  <c r="AB40" i="6"/>
  <c r="AA40" i="6"/>
  <c r="Y40" i="6"/>
  <c r="AW40" i="6" s="1"/>
  <c r="X40" i="6"/>
  <c r="AV40" i="6" s="1"/>
  <c r="K40" i="6"/>
  <c r="AZ39" i="6"/>
  <c r="AY39" i="6"/>
  <c r="AW39" i="6"/>
  <c r="AV39" i="6"/>
  <c r="AL39" i="6"/>
  <c r="AK39" i="6"/>
  <c r="AJ39" i="6"/>
  <c r="K39" i="6"/>
  <c r="BD38" i="6"/>
  <c r="AW38" i="6"/>
  <c r="AV38" i="6"/>
  <c r="AL38" i="6"/>
  <c r="AK38" i="6"/>
  <c r="AJ38" i="6"/>
  <c r="K38" i="6"/>
  <c r="BD37" i="6"/>
  <c r="AW37" i="6"/>
  <c r="AV37" i="6"/>
  <c r="K37" i="6"/>
  <c r="BD36" i="6"/>
  <c r="AW36" i="6"/>
  <c r="AV36" i="6"/>
  <c r="K36" i="6"/>
  <c r="BD35" i="6"/>
  <c r="AW35" i="6"/>
  <c r="AV35" i="6"/>
  <c r="K35" i="6"/>
  <c r="BD34" i="6"/>
  <c r="AW34" i="6"/>
  <c r="AV34" i="6"/>
  <c r="AL34" i="6"/>
  <c r="AK34" i="6"/>
  <c r="AJ34" i="6"/>
  <c r="K34" i="6"/>
  <c r="BD33" i="6"/>
  <c r="AS33" i="6"/>
  <c r="AV33" i="6" s="1"/>
  <c r="BB33" i="6" s="1"/>
  <c r="BC33" i="6" s="1"/>
  <c r="K33" i="6"/>
  <c r="BA32" i="6"/>
  <c r="AZ32" i="6"/>
  <c r="AY32" i="6"/>
  <c r="AX32" i="6"/>
  <c r="AW32" i="6"/>
  <c r="AV32" i="6"/>
  <c r="AL32" i="6"/>
  <c r="AK32" i="6"/>
  <c r="AJ32" i="6"/>
  <c r="K32" i="6"/>
  <c r="AT31" i="6"/>
  <c r="AS31" i="6"/>
  <c r="AQ31" i="6"/>
  <c r="AP31" i="6"/>
  <c r="AN31" i="6"/>
  <c r="AZ31" i="6" s="1"/>
  <c r="AM31" i="6"/>
  <c r="AY31" i="6" s="1"/>
  <c r="AL31" i="6"/>
  <c r="AK31" i="6"/>
  <c r="AJ31" i="6"/>
  <c r="Y31" i="6"/>
  <c r="X31" i="6"/>
  <c r="K31" i="6"/>
  <c r="AZ30" i="6"/>
  <c r="AY30" i="6"/>
  <c r="AT30" i="6"/>
  <c r="AS30" i="6"/>
  <c r="AQ30" i="6"/>
  <c r="AP30" i="6"/>
  <c r="AL30" i="6"/>
  <c r="AK30" i="6"/>
  <c r="AJ30" i="6"/>
  <c r="Y30" i="6"/>
  <c r="X30" i="6"/>
  <c r="K30" i="6"/>
  <c r="BA29" i="6"/>
  <c r="AZ29" i="6"/>
  <c r="AY29" i="6"/>
  <c r="AU29" i="6"/>
  <c r="AT29" i="6"/>
  <c r="AS29" i="6"/>
  <c r="AR29" i="6"/>
  <c r="AQ29" i="6"/>
  <c r="AP29" i="6"/>
  <c r="AL29" i="6"/>
  <c r="AK29" i="6"/>
  <c r="AJ29" i="6"/>
  <c r="Z29" i="6"/>
  <c r="Y29" i="6"/>
  <c r="X29" i="6"/>
  <c r="K29" i="6"/>
  <c r="BD28" i="6"/>
  <c r="AS28" i="6"/>
  <c r="AV28" i="6" s="1"/>
  <c r="BB28" i="6" s="1"/>
  <c r="BC28" i="6" s="1"/>
  <c r="K28" i="6"/>
  <c r="BD27" i="6"/>
  <c r="AS27" i="6"/>
  <c r="AV27" i="6" s="1"/>
  <c r="BB27" i="6" s="1"/>
  <c r="BC27" i="6" s="1"/>
  <c r="K27" i="6"/>
  <c r="BD26" i="6"/>
  <c r="AW26" i="6"/>
  <c r="AV26" i="6"/>
  <c r="BB26" i="6" s="1"/>
  <c r="BC26" i="6" s="1"/>
  <c r="K26" i="6"/>
  <c r="AZ25" i="6"/>
  <c r="AY25" i="6"/>
  <c r="AT25" i="6"/>
  <c r="AS25" i="6"/>
  <c r="AQ25" i="6"/>
  <c r="AP25" i="6"/>
  <c r="AL25" i="6"/>
  <c r="AK25" i="6"/>
  <c r="AJ25" i="6"/>
  <c r="Y25" i="6"/>
  <c r="AW25" i="6" s="1"/>
  <c r="X25" i="6"/>
  <c r="K25" i="6"/>
  <c r="BA24" i="6"/>
  <c r="AY24" i="6"/>
  <c r="AU24" i="6"/>
  <c r="AS24" i="6"/>
  <c r="AR24" i="6"/>
  <c r="AP24" i="6"/>
  <c r="AL24" i="6"/>
  <c r="AK24" i="6"/>
  <c r="AJ24" i="6"/>
  <c r="Z24" i="6"/>
  <c r="X24" i="6"/>
  <c r="K24" i="6"/>
  <c r="BD23" i="6"/>
  <c r="AV23" i="6"/>
  <c r="BB23" i="6" s="1"/>
  <c r="BC23" i="6" s="1"/>
  <c r="AL23" i="6"/>
  <c r="AK23" i="6"/>
  <c r="AJ23" i="6"/>
  <c r="K23" i="6"/>
  <c r="AZ22" i="6"/>
  <c r="AU22" i="6"/>
  <c r="AT22" i="6"/>
  <c r="AS22" i="6"/>
  <c r="AQ22" i="6"/>
  <c r="AM22" i="6"/>
  <c r="AL22" i="6"/>
  <c r="AK22" i="6"/>
  <c r="AJ22" i="6"/>
  <c r="AD22" i="6"/>
  <c r="AA22" i="6"/>
  <c r="AY22" i="6" s="1"/>
  <c r="Z22" i="6"/>
  <c r="Y22" i="6"/>
  <c r="AW22" i="6" s="1"/>
  <c r="R22" i="6"/>
  <c r="AP22" i="6" s="1"/>
  <c r="K22" i="6"/>
  <c r="BD21" i="6"/>
  <c r="AL21" i="6"/>
  <c r="AK21" i="6"/>
  <c r="AG21" i="6"/>
  <c r="AS21" i="6" s="1"/>
  <c r="AD21" i="6"/>
  <c r="AP21" i="6" s="1"/>
  <c r="Z21" i="6"/>
  <c r="Y21" i="6"/>
  <c r="X21" i="6"/>
  <c r="K21" i="6"/>
  <c r="BA20" i="6"/>
  <c r="AZ20" i="6"/>
  <c r="AY20" i="6"/>
  <c r="AU20" i="6"/>
  <c r="AT20" i="6"/>
  <c r="AS20" i="6"/>
  <c r="AR20" i="6"/>
  <c r="AQ20" i="6"/>
  <c r="AP20" i="6"/>
  <c r="AL20" i="6"/>
  <c r="AK20" i="6"/>
  <c r="AJ20" i="6"/>
  <c r="Z20" i="6"/>
  <c r="Y20" i="6"/>
  <c r="X20" i="6"/>
  <c r="K20" i="6"/>
  <c r="BD19" i="6"/>
  <c r="AU19" i="6"/>
  <c r="AT19" i="6"/>
  <c r="AS19" i="6"/>
  <c r="AQ19" i="6"/>
  <c r="AL19" i="6"/>
  <c r="AK19" i="6"/>
  <c r="AD19" i="6"/>
  <c r="AJ19" i="6" s="1"/>
  <c r="Z19" i="6"/>
  <c r="Y19" i="6"/>
  <c r="R19" i="6"/>
  <c r="K19" i="6"/>
  <c r="BD18" i="6"/>
  <c r="AV18" i="6"/>
  <c r="BB18" i="6" s="1"/>
  <c r="BC18" i="6" s="1"/>
  <c r="AL18" i="6"/>
  <c r="AK18" i="6"/>
  <c r="AJ18" i="6"/>
  <c r="K18" i="6"/>
  <c r="BA17" i="6"/>
  <c r="AZ17" i="6"/>
  <c r="AY17" i="6"/>
  <c r="AU17" i="6"/>
  <c r="AT17" i="6"/>
  <c r="AS17" i="6"/>
  <c r="AR17" i="6"/>
  <c r="AQ17" i="6"/>
  <c r="AP17" i="6"/>
  <c r="AL17" i="6"/>
  <c r="AK17" i="6"/>
  <c r="AJ17" i="6"/>
  <c r="Z17" i="6"/>
  <c r="Y17" i="6"/>
  <c r="X17" i="6"/>
  <c r="K17" i="6"/>
  <c r="BD16" i="6"/>
  <c r="AV16" i="6"/>
  <c r="BB16" i="6" s="1"/>
  <c r="BC16" i="6" s="1"/>
  <c r="AL16" i="6"/>
  <c r="AK16" i="6"/>
  <c r="AJ16" i="6"/>
  <c r="K16" i="6"/>
  <c r="BD15" i="6"/>
  <c r="AX15" i="6"/>
  <c r="AV15" i="6"/>
  <c r="AL15" i="6"/>
  <c r="AK15" i="6"/>
  <c r="AJ15" i="6"/>
  <c r="K15" i="6"/>
  <c r="AZ14" i="6"/>
  <c r="AY14" i="6"/>
  <c r="AT14" i="6"/>
  <c r="AS14" i="6"/>
  <c r="AQ14" i="6"/>
  <c r="AP14" i="6"/>
  <c r="AL14" i="6"/>
  <c r="AK14" i="6"/>
  <c r="AW14" i="6" s="1"/>
  <c r="AJ14" i="6"/>
  <c r="Y14" i="6"/>
  <c r="X14" i="6"/>
  <c r="K14" i="6"/>
  <c r="AZ13" i="6"/>
  <c r="AY13" i="6"/>
  <c r="AT13" i="6"/>
  <c r="AS13" i="6"/>
  <c r="AQ13" i="6"/>
  <c r="AP13" i="6"/>
  <c r="AL13" i="6"/>
  <c r="AK13" i="6"/>
  <c r="AJ13" i="6"/>
  <c r="Y13" i="6"/>
  <c r="X13" i="6"/>
  <c r="K13" i="6"/>
  <c r="BA12" i="6"/>
  <c r="AZ12" i="6"/>
  <c r="AY12" i="6"/>
  <c r="AU12" i="6"/>
  <c r="AT12" i="6"/>
  <c r="AS12" i="6"/>
  <c r="AR12" i="6"/>
  <c r="AQ12" i="6"/>
  <c r="AP12" i="6"/>
  <c r="AL12" i="6"/>
  <c r="AK12" i="6"/>
  <c r="AJ12" i="6"/>
  <c r="Z12" i="6"/>
  <c r="Y12" i="6"/>
  <c r="X12" i="6"/>
  <c r="K12" i="6"/>
  <c r="BD11" i="6"/>
  <c r="AS11" i="6"/>
  <c r="AP11" i="6"/>
  <c r="AL11" i="6"/>
  <c r="AK11" i="6"/>
  <c r="AJ11" i="6"/>
  <c r="Z11" i="6"/>
  <c r="Y11" i="6"/>
  <c r="X11" i="6"/>
  <c r="K11" i="6"/>
  <c r="BD10" i="6"/>
  <c r="AS10" i="6"/>
  <c r="AP10" i="6"/>
  <c r="AL10" i="6"/>
  <c r="AK10" i="6"/>
  <c r="AJ10" i="6"/>
  <c r="Z10" i="6"/>
  <c r="Y10" i="6"/>
  <c r="X10" i="6"/>
  <c r="K10" i="6"/>
  <c r="BD9" i="6"/>
  <c r="AS9" i="6"/>
  <c r="AV9" i="6" s="1"/>
  <c r="BB9" i="6" s="1"/>
  <c r="BC9" i="6" s="1"/>
  <c r="K9" i="6"/>
  <c r="BA8" i="6"/>
  <c r="AZ8" i="6"/>
  <c r="AY8" i="6"/>
  <c r="AX8" i="6"/>
  <c r="AW8" i="6"/>
  <c r="AV8" i="6"/>
  <c r="AL8" i="6"/>
  <c r="AK8" i="6"/>
  <c r="AJ8" i="6"/>
  <c r="K8" i="6"/>
  <c r="AZ7" i="6"/>
  <c r="AY7" i="6"/>
  <c r="BD7" i="6" s="1"/>
  <c r="AT7" i="6"/>
  <c r="AS7" i="6"/>
  <c r="AQ7" i="6"/>
  <c r="AP7" i="6"/>
  <c r="AL7" i="6"/>
  <c r="AK7" i="6"/>
  <c r="AJ7" i="6"/>
  <c r="Y7" i="6"/>
  <c r="X7" i="6"/>
  <c r="K7" i="6"/>
  <c r="BD6" i="6"/>
  <c r="AS6" i="6"/>
  <c r="AV6" i="6" s="1"/>
  <c r="BB6" i="6" s="1"/>
  <c r="K6" i="6"/>
  <c r="BA5" i="6"/>
  <c r="AZ5" i="6"/>
  <c r="AY5" i="6"/>
  <c r="AX5" i="6"/>
  <c r="AW5" i="6"/>
  <c r="AV5" i="6"/>
  <c r="AL5" i="6"/>
  <c r="AK5" i="6"/>
  <c r="AJ5" i="6"/>
  <c r="K5" i="6"/>
  <c r="AZ4" i="6"/>
  <c r="AY4" i="6"/>
  <c r="AT4" i="6"/>
  <c r="AS4" i="6"/>
  <c r="AQ4" i="6"/>
  <c r="AP4" i="6"/>
  <c r="AK4" i="6"/>
  <c r="AJ4" i="6"/>
  <c r="Y4" i="6"/>
  <c r="X4" i="6"/>
  <c r="K4" i="6"/>
  <c r="AW91" i="6" l="1"/>
  <c r="AW92" i="6"/>
  <c r="AV7" i="6"/>
  <c r="BB15" i="6"/>
  <c r="BC15" i="6" s="1"/>
  <c r="AX22" i="6"/>
  <c r="BD25" i="6"/>
  <c r="BB32" i="6"/>
  <c r="BC32" i="6" s="1"/>
  <c r="BB38" i="6"/>
  <c r="BC38" i="6" s="1"/>
  <c r="BB40" i="6"/>
  <c r="BD46" i="6"/>
  <c r="BD47" i="6"/>
  <c r="BB78" i="6"/>
  <c r="BC78" i="6" s="1"/>
  <c r="BB80" i="6"/>
  <c r="BC80" i="6" s="1"/>
  <c r="AV98" i="6"/>
  <c r="BB101" i="6"/>
  <c r="BC101" i="6" s="1"/>
  <c r="AV13" i="6"/>
  <c r="AV14" i="6"/>
  <c r="BD20" i="6"/>
  <c r="BD13" i="6"/>
  <c r="BD14" i="6"/>
  <c r="BB35" i="6"/>
  <c r="BC35" i="6" s="1"/>
  <c r="AY40" i="6"/>
  <c r="BB46" i="6"/>
  <c r="BC46" i="6" s="1"/>
  <c r="BB47" i="6"/>
  <c r="BC47" i="6" s="1"/>
  <c r="BB49" i="6"/>
  <c r="BC49" i="6" s="1"/>
  <c r="AV58" i="6"/>
  <c r="AV59" i="6"/>
  <c r="AV63" i="6"/>
  <c r="AV64" i="6"/>
  <c r="BB68" i="6"/>
  <c r="BC68" i="6" s="1"/>
  <c r="AW86" i="6"/>
  <c r="BD86" i="6"/>
  <c r="AV90" i="6"/>
  <c r="AV92" i="6"/>
  <c r="AX17" i="6"/>
  <c r="AP19" i="6"/>
  <c r="AV20" i="6"/>
  <c r="AX24" i="6"/>
  <c r="BD32" i="6"/>
  <c r="BD80" i="6"/>
  <c r="BB89" i="6"/>
  <c r="BC89" i="6" s="1"/>
  <c r="BB5" i="6"/>
  <c r="BC5" i="6" s="1"/>
  <c r="AW12" i="6"/>
  <c r="BD22" i="6"/>
  <c r="BD24" i="6"/>
  <c r="AV29" i="6"/>
  <c r="AV30" i="6"/>
  <c r="BB45" i="6"/>
  <c r="AW63" i="6"/>
  <c r="AW64" i="6"/>
  <c r="BB64" i="6" s="1"/>
  <c r="BC64" i="6" s="1"/>
  <c r="AX90" i="6"/>
  <c r="AV91" i="6"/>
  <c r="AX98" i="6"/>
  <c r="AV100" i="6"/>
  <c r="BB100" i="6" s="1"/>
  <c r="BC100" i="6" s="1"/>
  <c r="AW106" i="6"/>
  <c r="AW77" i="6"/>
  <c r="BD5" i="6"/>
  <c r="BD8" i="6"/>
  <c r="AV17" i="6"/>
  <c r="AX19" i="6"/>
  <c r="AX20" i="6"/>
  <c r="BD30" i="6"/>
  <c r="AW31" i="6"/>
  <c r="BB37" i="6"/>
  <c r="BC37" i="6" s="1"/>
  <c r="BB43" i="6"/>
  <c r="BC43" i="6" s="1"/>
  <c r="BD71" i="6"/>
  <c r="BD73" i="6"/>
  <c r="BB76" i="6"/>
  <c r="BC76" i="6" s="1"/>
  <c r="AV103" i="6"/>
  <c r="BB103" i="6" s="1"/>
  <c r="BD103" i="6"/>
  <c r="AV106" i="6"/>
  <c r="BB109" i="7"/>
  <c r="Z23" i="7"/>
  <c r="AX23" i="7" s="1"/>
  <c r="Y28" i="7"/>
  <c r="AW28" i="7" s="1"/>
  <c r="X33" i="7"/>
  <c r="AV33" i="7" s="1"/>
  <c r="BB51" i="7"/>
  <c r="BC51" i="7" s="1"/>
  <c r="BB71" i="7"/>
  <c r="BC71" i="7" s="1"/>
  <c r="BB104" i="7"/>
  <c r="BC104" i="7" s="1"/>
  <c r="Z105" i="7"/>
  <c r="BB5" i="7"/>
  <c r="BC5" i="7" s="1"/>
  <c r="AP7" i="7"/>
  <c r="AW11" i="7"/>
  <c r="Z12" i="7"/>
  <c r="AX12" i="7" s="1"/>
  <c r="Z19" i="7"/>
  <c r="AX19" i="7" s="1"/>
  <c r="X21" i="7"/>
  <c r="AV21" i="7" s="1"/>
  <c r="BB21" i="7" s="1"/>
  <c r="BC21" i="7" s="1"/>
  <c r="AP33" i="7"/>
  <c r="BB39" i="7"/>
  <c r="BC39" i="7" s="1"/>
  <c r="X42" i="7"/>
  <c r="AV42" i="7" s="1"/>
  <c r="Y42" i="7"/>
  <c r="AW42" i="7" s="1"/>
  <c r="BB44" i="7"/>
  <c r="BC44" i="7" s="1"/>
  <c r="X45" i="7"/>
  <c r="AV45" i="7" s="1"/>
  <c r="BB47" i="7"/>
  <c r="BC47" i="7" s="1"/>
  <c r="BB48" i="7"/>
  <c r="BC48" i="7" s="1"/>
  <c r="BD51" i="7"/>
  <c r="BD54" i="7"/>
  <c r="BB58" i="7"/>
  <c r="BC58" i="7" s="1"/>
  <c r="BB59" i="7"/>
  <c r="BC59" i="7" s="1"/>
  <c r="BD59" i="7"/>
  <c r="BB62" i="7"/>
  <c r="BC62" i="7" s="1"/>
  <c r="Y64" i="7"/>
  <c r="AW64" i="7" s="1"/>
  <c r="BB76" i="7"/>
  <c r="BC76" i="7" s="1"/>
  <c r="BB77" i="7"/>
  <c r="BC77" i="7" s="1"/>
  <c r="BB78" i="7"/>
  <c r="BC78" i="7" s="1"/>
  <c r="BD79" i="7"/>
  <c r="BB85" i="7"/>
  <c r="BC85" i="7" s="1"/>
  <c r="BB90" i="7"/>
  <c r="BC90" i="7" s="1"/>
  <c r="BB94" i="7"/>
  <c r="BC94" i="7" s="1"/>
  <c r="Y96" i="7"/>
  <c r="AW96" i="7" s="1"/>
  <c r="BD96" i="7"/>
  <c r="Y97" i="7"/>
  <c r="X98" i="7"/>
  <c r="BD98" i="7"/>
  <c r="BD101" i="7"/>
  <c r="BD104" i="7"/>
  <c r="Y106" i="7"/>
  <c r="AW106" i="7" s="1"/>
  <c r="AQ113" i="7"/>
  <c r="BB7" i="7"/>
  <c r="BC7" i="7" s="1"/>
  <c r="AW10" i="7"/>
  <c r="BB13" i="7"/>
  <c r="BC13" i="7" s="1"/>
  <c r="BB54" i="7"/>
  <c r="BC54" i="7" s="1"/>
  <c r="BA116" i="7"/>
  <c r="BB8" i="7"/>
  <c r="BC8" i="7" s="1"/>
  <c r="Y12" i="7"/>
  <c r="AW12" i="7" s="1"/>
  <c r="BD12" i="7"/>
  <c r="Y19" i="7"/>
  <c r="AW19" i="7" s="1"/>
  <c r="BD19" i="7"/>
  <c r="X25" i="7"/>
  <c r="AV25" i="7" s="1"/>
  <c r="BB25" i="7" s="1"/>
  <c r="BC25" i="7" s="1"/>
  <c r="BD33" i="7"/>
  <c r="BB43" i="7"/>
  <c r="BC43" i="7" s="1"/>
  <c r="BB52" i="7"/>
  <c r="BC52" i="7" s="1"/>
  <c r="BB61" i="7"/>
  <c r="BC61" i="7" s="1"/>
  <c r="AQ65" i="7"/>
  <c r="BB66" i="7"/>
  <c r="BC66" i="7" s="1"/>
  <c r="BD66" i="7"/>
  <c r="X69" i="7"/>
  <c r="AV69" i="7" s="1"/>
  <c r="BB73" i="7"/>
  <c r="BC73" i="7" s="1"/>
  <c r="BB80" i="7"/>
  <c r="BC80" i="7" s="1"/>
  <c r="BB81" i="7"/>
  <c r="BC81" i="7" s="1"/>
  <c r="BB82" i="7"/>
  <c r="BC82" i="7" s="1"/>
  <c r="BB86" i="7"/>
  <c r="BC86" i="7" s="1"/>
  <c r="AX107" i="7"/>
  <c r="X108" i="7"/>
  <c r="AV108" i="7" s="1"/>
  <c r="Y111" i="7"/>
  <c r="AW111" i="7" s="1"/>
  <c r="BB111" i="7" s="1"/>
  <c r="BC111" i="7" s="1"/>
  <c r="BC50" i="7"/>
  <c r="Y4" i="7"/>
  <c r="AW4" i="7" s="1"/>
  <c r="BD13" i="7"/>
  <c r="X14" i="7"/>
  <c r="AV14" i="7" s="1"/>
  <c r="Z27" i="7"/>
  <c r="AX27" i="7" s="1"/>
  <c r="Y35" i="7"/>
  <c r="AW35" i="7" s="1"/>
  <c r="BB35" i="7" s="1"/>
  <c r="AQ35" i="7"/>
  <c r="Y41" i="7"/>
  <c r="AW41" i="7" s="1"/>
  <c r="AQ41" i="7"/>
  <c r="BC109" i="7"/>
  <c r="X4" i="7"/>
  <c r="AV4" i="7" s="1"/>
  <c r="BC6" i="7"/>
  <c r="Y14" i="7"/>
  <c r="AW14" i="7" s="1"/>
  <c r="X28" i="7"/>
  <c r="AV28" i="7" s="1"/>
  <c r="BB28" i="7" s="1"/>
  <c r="BC28" i="7" s="1"/>
  <c r="AT33" i="7"/>
  <c r="AT116" i="7" s="1"/>
  <c r="Y33" i="7"/>
  <c r="AW33" i="7" s="1"/>
  <c r="BB33" i="7" s="1"/>
  <c r="BC33" i="7" s="1"/>
  <c r="AQ69" i="7"/>
  <c r="Y69" i="7"/>
  <c r="AW69" i="7" s="1"/>
  <c r="BB108" i="7"/>
  <c r="BC108" i="7" s="1"/>
  <c r="AS116" i="7"/>
  <c r="AV11" i="7"/>
  <c r="BB11" i="7" s="1"/>
  <c r="BC11" i="7" s="1"/>
  <c r="X12" i="7"/>
  <c r="AV12" i="7" s="1"/>
  <c r="BD14" i="7"/>
  <c r="X19" i="7"/>
  <c r="AV19" i="7" s="1"/>
  <c r="X23" i="7"/>
  <c r="AV23" i="7" s="1"/>
  <c r="AJ24" i="7"/>
  <c r="AV24" i="7" s="1"/>
  <c r="BB24" i="7" s="1"/>
  <c r="BC24" i="7" s="1"/>
  <c r="AP24" i="7"/>
  <c r="BD36" i="7"/>
  <c r="X97" i="7"/>
  <c r="AV97" i="7" s="1"/>
  <c r="AQ98" i="7"/>
  <c r="Y98" i="7"/>
  <c r="AW98" i="7" s="1"/>
  <c r="AZ116" i="7"/>
  <c r="BB37" i="7"/>
  <c r="BC37" i="7" s="1"/>
  <c r="X40" i="7"/>
  <c r="AV40" i="7" s="1"/>
  <c r="BB40" i="7" s="1"/>
  <c r="BC40" i="7" s="1"/>
  <c r="Y45" i="7"/>
  <c r="AW45" i="7" s="1"/>
  <c r="BB45" i="7" s="1"/>
  <c r="BB49" i="7"/>
  <c r="BC49" i="7" s="1"/>
  <c r="X70" i="7"/>
  <c r="AV70" i="7" s="1"/>
  <c r="BB70" i="7" s="1"/>
  <c r="BC70" i="7" s="1"/>
  <c r="BB75" i="7"/>
  <c r="BC75" i="7" s="1"/>
  <c r="X99" i="7"/>
  <c r="AV99" i="7" s="1"/>
  <c r="BB99" i="7" s="1"/>
  <c r="BC99" i="7" s="1"/>
  <c r="AX105" i="7"/>
  <c r="BC115" i="7"/>
  <c r="AQ36" i="7"/>
  <c r="AU116" i="7"/>
  <c r="X27" i="7"/>
  <c r="AV27" i="7" s="1"/>
  <c r="BB27" i="7" s="1"/>
  <c r="BC27" i="7" s="1"/>
  <c r="X41" i="7"/>
  <c r="AV41" i="7" s="1"/>
  <c r="BB41" i="7" s="1"/>
  <c r="BC41" i="7" s="1"/>
  <c r="AY45" i="7"/>
  <c r="BD45" i="7" s="1"/>
  <c r="X65" i="7"/>
  <c r="AV65" i="7" s="1"/>
  <c r="BB65" i="7" s="1"/>
  <c r="BC65" i="7" s="1"/>
  <c r="BB69" i="7"/>
  <c r="BC69" i="7" s="1"/>
  <c r="AX116" i="7"/>
  <c r="BB79" i="7"/>
  <c r="BC79" i="7" s="1"/>
  <c r="Z83" i="7"/>
  <c r="AX83" i="7" s="1"/>
  <c r="AR83" i="7"/>
  <c r="AR116" i="7" s="1"/>
  <c r="X83" i="7"/>
  <c r="AV83" i="7" s="1"/>
  <c r="Y92" i="7"/>
  <c r="AW92" i="7" s="1"/>
  <c r="X101" i="7"/>
  <c r="AV101" i="7" s="1"/>
  <c r="X105" i="7"/>
  <c r="AV105" i="7" s="1"/>
  <c r="BB105" i="7" s="1"/>
  <c r="BC105" i="7" s="1"/>
  <c r="AP105" i="7"/>
  <c r="X64" i="7"/>
  <c r="AV64" i="7" s="1"/>
  <c r="BB64" i="7" s="1"/>
  <c r="BC64" i="7" s="1"/>
  <c r="BD91" i="7"/>
  <c r="X92" i="7"/>
  <c r="AV92" i="7" s="1"/>
  <c r="BB92" i="7" s="1"/>
  <c r="BC92" i="7" s="1"/>
  <c r="X96" i="7"/>
  <c r="AV96" i="7" s="1"/>
  <c r="BB96" i="7" s="1"/>
  <c r="BD99" i="7"/>
  <c r="Y101" i="7"/>
  <c r="AW101" i="7" s="1"/>
  <c r="BB110" i="7"/>
  <c r="BC110" i="7" s="1"/>
  <c r="X113" i="7"/>
  <c r="AV113" i="7" s="1"/>
  <c r="BB113" i="7" s="1"/>
  <c r="BC113" i="7" s="1"/>
  <c r="BB56" i="7"/>
  <c r="BC56" i="7" s="1"/>
  <c r="Y70" i="7"/>
  <c r="AW70" i="7" s="1"/>
  <c r="BD71" i="7"/>
  <c r="Y83" i="7"/>
  <c r="AW83" i="7" s="1"/>
  <c r="BD90" i="7"/>
  <c r="AW97" i="7"/>
  <c r="AV98" i="7"/>
  <c r="BB98" i="7" s="1"/>
  <c r="BC98" i="7" s="1"/>
  <c r="BD105" i="7"/>
  <c r="X106" i="7"/>
  <c r="AV106" i="7" s="1"/>
  <c r="AP98" i="7"/>
  <c r="BD31" i="6"/>
  <c r="BB8" i="6"/>
  <c r="BC8" i="6" s="1"/>
  <c r="BB92" i="6"/>
  <c r="BC92" i="6" s="1"/>
  <c r="AV93" i="6"/>
  <c r="BB94" i="6"/>
  <c r="BC94" i="6" s="1"/>
  <c r="BB95" i="6"/>
  <c r="BC95" i="6" s="1"/>
  <c r="BD98" i="6"/>
  <c r="AW102" i="6"/>
  <c r="BB102" i="6" s="1"/>
  <c r="BC102" i="6" s="1"/>
  <c r="AV105" i="6"/>
  <c r="BB105" i="6" s="1"/>
  <c r="BC105" i="6" s="1"/>
  <c r="AT108" i="6"/>
  <c r="AV10" i="6"/>
  <c r="BB10" i="6" s="1"/>
  <c r="BC10" i="6" s="1"/>
  <c r="AV12" i="6"/>
  <c r="BD12" i="6"/>
  <c r="AW19" i="6"/>
  <c r="AW20" i="6"/>
  <c r="BB20" i="6" s="1"/>
  <c r="BC20" i="6" s="1"/>
  <c r="AJ21" i="6"/>
  <c r="AV21" i="6" s="1"/>
  <c r="BB21" i="6" s="1"/>
  <c r="BC21" i="6" s="1"/>
  <c r="X22" i="6"/>
  <c r="AV22" i="6" s="1"/>
  <c r="BB22" i="6" s="1"/>
  <c r="BC22" i="6" s="1"/>
  <c r="BD39" i="6"/>
  <c r="BB51" i="6"/>
  <c r="BC51" i="6" s="1"/>
  <c r="BD54" i="6"/>
  <c r="BD56" i="6"/>
  <c r="BD57" i="6"/>
  <c r="BD58" i="6"/>
  <c r="AW59" i="6"/>
  <c r="BB61" i="6"/>
  <c r="BC61" i="6" s="1"/>
  <c r="BB62" i="6"/>
  <c r="BC62" i="6" s="1"/>
  <c r="BD64" i="6"/>
  <c r="BB67" i="6"/>
  <c r="BC67" i="6" s="1"/>
  <c r="BD70" i="6"/>
  <c r="AX77" i="6"/>
  <c r="BD84" i="6"/>
  <c r="BD85" i="6"/>
  <c r="BD92" i="6"/>
  <c r="AW93" i="6"/>
  <c r="BD93" i="6"/>
  <c r="BD95" i="6"/>
  <c r="AW98" i="6"/>
  <c r="BB98" i="6" s="1"/>
  <c r="BC98" i="6" s="1"/>
  <c r="AV4" i="6"/>
  <c r="AW7" i="6"/>
  <c r="BB7" i="6" s="1"/>
  <c r="BC7" i="6" s="1"/>
  <c r="AW13" i="6"/>
  <c r="BD29" i="6"/>
  <c r="AV86" i="6"/>
  <c r="BB86" i="6" s="1"/>
  <c r="BC86" i="6" s="1"/>
  <c r="AW4" i="6"/>
  <c r="BB4" i="6" s="1"/>
  <c r="AV11" i="6"/>
  <c r="BB11" i="6" s="1"/>
  <c r="BC11" i="6" s="1"/>
  <c r="AX12" i="6"/>
  <c r="AX108" i="6" s="1"/>
  <c r="AW17" i="6"/>
  <c r="BD17" i="6"/>
  <c r="AV24" i="6"/>
  <c r="AW29" i="6"/>
  <c r="AW30" i="6"/>
  <c r="AV31" i="6"/>
  <c r="BB36" i="6"/>
  <c r="BC36" i="6" s="1"/>
  <c r="BB39" i="6"/>
  <c r="BC39" i="6" s="1"/>
  <c r="AZ40" i="6"/>
  <c r="BB48" i="6"/>
  <c r="BC48" i="6" s="1"/>
  <c r="BB50" i="6"/>
  <c r="BC50" i="6" s="1"/>
  <c r="BD51" i="6"/>
  <c r="BB53" i="6"/>
  <c r="BC53" i="6" s="1"/>
  <c r="BB54" i="6"/>
  <c r="BC54" i="6" s="1"/>
  <c r="BB56" i="6"/>
  <c r="BC56" i="6" s="1"/>
  <c r="BB57" i="6"/>
  <c r="BC57" i="6" s="1"/>
  <c r="BB65" i="6"/>
  <c r="BC65" i="6" s="1"/>
  <c r="BD65" i="6"/>
  <c r="BB69" i="6"/>
  <c r="BC69" i="6" s="1"/>
  <c r="BB75" i="6"/>
  <c r="BC75" i="6" s="1"/>
  <c r="BD77" i="6"/>
  <c r="BB84" i="6"/>
  <c r="BC84" i="6" s="1"/>
  <c r="BB85" i="6"/>
  <c r="BC85" i="6" s="1"/>
  <c r="AW90" i="6"/>
  <c r="BD90" i="6"/>
  <c r="AZ94" i="6"/>
  <c r="AZ108" i="6" s="1"/>
  <c r="AY94" i="6"/>
  <c r="BB99" i="6"/>
  <c r="BC99" i="6" s="1"/>
  <c r="BD99" i="6"/>
  <c r="BB106" i="6"/>
  <c r="BC106" i="6" s="1"/>
  <c r="BD106" i="6"/>
  <c r="BB30" i="6"/>
  <c r="AP108" i="6"/>
  <c r="BB17" i="6"/>
  <c r="BC17" i="6" s="1"/>
  <c r="BD40" i="6"/>
  <c r="BC103" i="6"/>
  <c r="BC45" i="6"/>
  <c r="BB13" i="6"/>
  <c r="BC13" i="6" s="1"/>
  <c r="BB14" i="6"/>
  <c r="BC14" i="6" s="1"/>
  <c r="BC40" i="6"/>
  <c r="BB59" i="6"/>
  <c r="BC59" i="6" s="1"/>
  <c r="BA108" i="6"/>
  <c r="BC6" i="6"/>
  <c r="AQ108" i="6"/>
  <c r="AR108" i="6"/>
  <c r="X19" i="6"/>
  <c r="AV19" i="6" s="1"/>
  <c r="BB34" i="6"/>
  <c r="BB44" i="6"/>
  <c r="BC44" i="6" s="1"/>
  <c r="BD69" i="6"/>
  <c r="AV77" i="6"/>
  <c r="BB79" i="6"/>
  <c r="BC79" i="6" s="1"/>
  <c r="BD79" i="6"/>
  <c r="BB87" i="6"/>
  <c r="BC87" i="6" s="1"/>
  <c r="BB91" i="6"/>
  <c r="BC91" i="6" s="1"/>
  <c r="BD102" i="6"/>
  <c r="BC107" i="6"/>
  <c r="AS108" i="6"/>
  <c r="BD4" i="6"/>
  <c r="AV25" i="6"/>
  <c r="BB25" i="6" s="1"/>
  <c r="BC25" i="6" s="1"/>
  <c r="BD49" i="6"/>
  <c r="BD53" i="6"/>
  <c r="BB60" i="6"/>
  <c r="BC60" i="6" s="1"/>
  <c r="BB72" i="6"/>
  <c r="BC72" i="6" s="1"/>
  <c r="BB74" i="6"/>
  <c r="BC74" i="6" s="1"/>
  <c r="BD76" i="6"/>
  <c r="AU108" i="6"/>
  <c r="BB31" i="6"/>
  <c r="BC31" i="6" s="1"/>
  <c r="AX29" i="6"/>
  <c r="BB58" i="6"/>
  <c r="BD94" i="6" l="1"/>
  <c r="BB24" i="6"/>
  <c r="BC24" i="6" s="1"/>
  <c r="BB63" i="6"/>
  <c r="BC63" i="6" s="1"/>
  <c r="AY108" i="6"/>
  <c r="BB90" i="6"/>
  <c r="BC90" i="6" s="1"/>
  <c r="BB12" i="6"/>
  <c r="BC12" i="6" s="1"/>
  <c r="BB23" i="7"/>
  <c r="BC23" i="7" s="1"/>
  <c r="BB106" i="7"/>
  <c r="BC106" i="7" s="1"/>
  <c r="BB19" i="7"/>
  <c r="BC19" i="7" s="1"/>
  <c r="AP116" i="7"/>
  <c r="BB12" i="7"/>
  <c r="BC12" i="7" s="1"/>
  <c r="AQ116" i="7"/>
  <c r="BD116" i="7"/>
  <c r="BB42" i="7"/>
  <c r="BC42" i="7" s="1"/>
  <c r="BB101" i="7"/>
  <c r="BC101" i="7" s="1"/>
  <c r="BB97" i="7"/>
  <c r="BC97" i="7" s="1"/>
  <c r="AY116" i="7"/>
  <c r="BC35" i="7"/>
  <c r="AW116" i="7"/>
  <c r="AV116" i="7"/>
  <c r="BB4" i="7"/>
  <c r="BB14" i="7"/>
  <c r="BC14" i="7" s="1"/>
  <c r="BC96" i="7"/>
  <c r="BB83" i="7"/>
  <c r="BC83" i="7" s="1"/>
  <c r="BC45" i="7"/>
  <c r="AW108" i="6"/>
  <c r="BB93" i="6"/>
  <c r="BC93" i="6" s="1"/>
  <c r="BB29" i="6"/>
  <c r="BC29" i="6" s="1"/>
  <c r="BB77" i="6"/>
  <c r="BC77" i="6" s="1"/>
  <c r="BB19" i="6"/>
  <c r="BC19" i="6" s="1"/>
  <c r="AV108" i="6"/>
  <c r="BC34" i="6"/>
  <c r="BC58" i="6"/>
  <c r="BD108" i="6"/>
  <c r="BD110" i="6" s="1"/>
  <c r="BD111" i="6" s="1"/>
  <c r="BC4" i="6"/>
  <c r="BC30" i="6"/>
  <c r="BB116" i="7" l="1"/>
  <c r="BC4" i="7"/>
  <c r="BC116" i="7" s="1"/>
  <c r="BI116" i="7" s="1"/>
  <c r="BB108" i="6"/>
  <c r="BC108" i="6"/>
  <c r="BC110" i="6" l="1"/>
  <c r="BC111" i="6" s="1"/>
  <c r="BB110" i="6"/>
  <c r="BB111" i="6" s="1"/>
</calcChain>
</file>

<file path=xl/sharedStrings.xml><?xml version="1.0" encoding="utf-8"?>
<sst xmlns="http://schemas.openxmlformats.org/spreadsheetml/2006/main" count="3244" uniqueCount="585">
  <si>
    <t>AAM Snapshot March 2014</t>
  </si>
  <si>
    <t>AAM Snapshot September 2014</t>
  </si>
  <si>
    <t>AAM Snapshot Average March-September 2014/CMCA/CCAB 12 months ending December 2014</t>
  </si>
  <si>
    <t>Paid Circulation</t>
  </si>
  <si>
    <t>Qualified Circulation</t>
  </si>
  <si>
    <t>Total Circulation</t>
  </si>
  <si>
    <t>Digital Circulation*</t>
  </si>
  <si>
    <r>
      <rPr>
        <b/>
        <sz val="9"/>
        <color rgb="FF00518E"/>
        <rFont val="Calibri"/>
        <family val="2"/>
        <scheme val="minor"/>
      </rPr>
      <t>Non Paid Circulation</t>
    </r>
    <r>
      <rPr>
        <b/>
        <sz val="7"/>
        <color rgb="FF00518E"/>
        <rFont val="Calibri"/>
        <family val="2"/>
        <scheme val="minor"/>
      </rPr>
      <t xml:space="preserve"> 
</t>
    </r>
    <r>
      <rPr>
        <sz val="9"/>
        <color rgb="FF00518E"/>
        <rFont val="Calibri"/>
        <family val="2"/>
        <scheme val="minor"/>
      </rPr>
      <t>(Qualified/Sponsored/Free/Controlled)</t>
    </r>
  </si>
  <si>
    <r>
      <t>Total Circulation</t>
    </r>
    <r>
      <rPr>
        <sz val="9"/>
        <color rgb="FF00518E"/>
        <rFont val="Calibri"/>
        <family val="2"/>
        <scheme val="minor"/>
      </rPr>
      <t xml:space="preserve"> 
(Print/Digital)</t>
    </r>
  </si>
  <si>
    <r>
      <t xml:space="preserve">Digital Circulation*
</t>
    </r>
    <r>
      <rPr>
        <sz val="8"/>
        <color rgb="FF00518E"/>
        <rFont val="Calibri"/>
        <family val="2"/>
        <scheme val="minor"/>
      </rPr>
      <t>(already included in Total Circ)</t>
    </r>
  </si>
  <si>
    <t>Newspaper</t>
  </si>
  <si>
    <t>Language</t>
  </si>
  <si>
    <t>Region</t>
  </si>
  <si>
    <t>Prov</t>
  </si>
  <si>
    <t>Market</t>
  </si>
  <si>
    <t>Population (2011 Census)</t>
  </si>
  <si>
    <t>Market Size / Population</t>
  </si>
  <si>
    <t>Format</t>
  </si>
  <si>
    <t>Columns</t>
  </si>
  <si>
    <t>Lines</t>
  </si>
  <si>
    <t>Total Lines</t>
  </si>
  <si>
    <t>Paywall</t>
  </si>
  <si>
    <t>Paid/Free</t>
  </si>
  <si>
    <t>Publication</t>
  </si>
  <si>
    <t>Freq.</t>
  </si>
  <si>
    <t>Owner</t>
  </si>
  <si>
    <t>Audit Basis</t>
  </si>
  <si>
    <t>Avg Wkday</t>
  </si>
  <si>
    <t>Sat</t>
  </si>
  <si>
    <t>Sun</t>
  </si>
  <si>
    <r>
      <t>Weekly Total</t>
    </r>
    <r>
      <rPr>
        <sz val="10"/>
        <color indexed="8"/>
        <rFont val="Calibri"/>
        <family val="2"/>
        <scheme val="minor"/>
      </rPr>
      <t xml:space="preserve"> (Print/Digital)</t>
    </r>
  </si>
  <si>
    <r>
      <t xml:space="preserve">Daily Avg. </t>
    </r>
    <r>
      <rPr>
        <sz val="10"/>
        <color indexed="8"/>
        <rFont val="Calibri"/>
        <family val="2"/>
        <scheme val="minor"/>
      </rPr>
      <t>(Print/Digital)</t>
    </r>
  </si>
  <si>
    <t>Total Weekly Digital ONLY*</t>
  </si>
  <si>
    <t>Year Established</t>
  </si>
  <si>
    <t>Calgary Herald</t>
  </si>
  <si>
    <t>English</t>
  </si>
  <si>
    <t>Prairies</t>
  </si>
  <si>
    <t>AB</t>
  </si>
  <si>
    <t>Calgary</t>
  </si>
  <si>
    <t>1M+</t>
  </si>
  <si>
    <t>b/sheet</t>
  </si>
  <si>
    <t>May 2013</t>
  </si>
  <si>
    <t>Paid</t>
  </si>
  <si>
    <t>Morning</t>
  </si>
  <si>
    <t>M-Sa</t>
  </si>
  <si>
    <t>Postmedia Network Inc.</t>
  </si>
  <si>
    <t>AAM</t>
  </si>
  <si>
    <t>tabloid</t>
  </si>
  <si>
    <t>Dec 2012</t>
  </si>
  <si>
    <t>M-Su</t>
  </si>
  <si>
    <t>Quebecor/Sun Media</t>
  </si>
  <si>
    <t>CCAB</t>
  </si>
  <si>
    <t>Metro Calgary</t>
  </si>
  <si>
    <t>Free</t>
  </si>
  <si>
    <t>M-F</t>
  </si>
  <si>
    <t>Metro Intl.SA &amp; TorStar</t>
  </si>
  <si>
    <t>http://www.metronews.ca/calgary</t>
  </si>
  <si>
    <t>Edmonton</t>
  </si>
  <si>
    <t>The Edmonton Journal</t>
  </si>
  <si>
    <t>Metro Edmonton</t>
  </si>
  <si>
    <t>http://www.metronews.ca/edmonton</t>
  </si>
  <si>
    <t>Fort McMurray Today</t>
  </si>
  <si>
    <t>Fort McMurray</t>
  </si>
  <si>
    <t>50K-100K</t>
  </si>
  <si>
    <t>Evening</t>
  </si>
  <si>
    <t>Grande Prairie</t>
  </si>
  <si>
    <t>Lethbridge Herald</t>
  </si>
  <si>
    <t>Lethbridge</t>
  </si>
  <si>
    <t>100K-500K</t>
  </si>
  <si>
    <t>June 2013</t>
  </si>
  <si>
    <t>Glacier/AB Newspaper Group</t>
  </si>
  <si>
    <t>Medicine Hat News</t>
  </si>
  <si>
    <t>Medicine Hat</t>
  </si>
  <si>
    <t>April 2013</t>
  </si>
  <si>
    <t>Red Deer Advocate</t>
  </si>
  <si>
    <t>Red Deer</t>
  </si>
  <si>
    <t>June 2011</t>
  </si>
  <si>
    <t>Black Press</t>
  </si>
  <si>
    <t>Cranbrook Daily Townsman^^</t>
  </si>
  <si>
    <t>BC &amp; Yukon</t>
  </si>
  <si>
    <t>BC</t>
  </si>
  <si>
    <t>Cranbrook</t>
  </si>
  <si>
    <t>&lt;50K</t>
  </si>
  <si>
    <t>Feb 2012</t>
  </si>
  <si>
    <t>CMCA</t>
  </si>
  <si>
    <t xml:space="preserve"> </t>
  </si>
  <si>
    <t>Alaska Highway News</t>
  </si>
  <si>
    <t>Fort St. John</t>
  </si>
  <si>
    <t>Glacier Media</t>
  </si>
  <si>
    <t>The Courier (Kelowna)</t>
  </si>
  <si>
    <t>Kelowna</t>
  </si>
  <si>
    <t>Continental Newspapers</t>
  </si>
  <si>
    <t>The Daily Bulletin (Kimberley)</t>
  </si>
  <si>
    <t>Kimberley</t>
  </si>
  <si>
    <t>Nanaimo Daily News ^^</t>
  </si>
  <si>
    <t>Nanaimo</t>
  </si>
  <si>
    <t>Penticton Herald</t>
  </si>
  <si>
    <t>Penticton</t>
  </si>
  <si>
    <t>Alberni Valley Times</t>
  </si>
  <si>
    <t>Port Alberni</t>
  </si>
  <si>
    <t>Prince George Citizen^^</t>
  </si>
  <si>
    <t>Prince George</t>
  </si>
  <si>
    <t>The Trail Times</t>
  </si>
  <si>
    <t>Trail</t>
  </si>
  <si>
    <t>T-F</t>
  </si>
  <si>
    <t>The Province</t>
  </si>
  <si>
    <t>Vancouver</t>
  </si>
  <si>
    <t>Aug 2012</t>
  </si>
  <si>
    <t>Su-F</t>
  </si>
  <si>
    <t>The Vancouver Sun</t>
  </si>
  <si>
    <t>http://24hrs.ca/</t>
  </si>
  <si>
    <t>Epoch Times (Vancouver)^</t>
  </si>
  <si>
    <t>Chinese</t>
  </si>
  <si>
    <t>Independent</t>
  </si>
  <si>
    <t>PS</t>
  </si>
  <si>
    <t>http://www.theepochtimes.com</t>
  </si>
  <si>
    <t>Metro Vancouver</t>
  </si>
  <si>
    <t>http://www.metronews.ca/vancouver</t>
  </si>
  <si>
    <t>Times Colonist</t>
  </si>
  <si>
    <t>Victoria</t>
  </si>
  <si>
    <t>May 2011</t>
  </si>
  <si>
    <t>T-Su</t>
  </si>
  <si>
    <t>Brandon Sun</t>
  </si>
  <si>
    <t>MB</t>
  </si>
  <si>
    <t>Brandon</t>
  </si>
  <si>
    <t>FP Canadian NP LP</t>
  </si>
  <si>
    <t>Winnipeg</t>
  </si>
  <si>
    <t>500K-1M</t>
  </si>
  <si>
    <t>Winnipeg Free Press</t>
  </si>
  <si>
    <t>Metro Winnipeg</t>
  </si>
  <si>
    <t>http://www.metronews.ca/winnipeg</t>
  </si>
  <si>
    <t>L'Acadie Nouvelle</t>
  </si>
  <si>
    <t>French</t>
  </si>
  <si>
    <t>Atlantic</t>
  </si>
  <si>
    <t>NB</t>
  </si>
  <si>
    <t>Caraquet</t>
  </si>
  <si>
    <t>The Daily Gleaner</t>
  </si>
  <si>
    <t>Fredericton</t>
  </si>
  <si>
    <t>Nov 2011</t>
  </si>
  <si>
    <t>Brunswick News Inc.</t>
  </si>
  <si>
    <t>Times-Transcript</t>
  </si>
  <si>
    <t>Moncton</t>
  </si>
  <si>
    <t>NB Telegraph Journal</t>
  </si>
  <si>
    <t>Saint John</t>
  </si>
  <si>
    <t>The Western Star</t>
  </si>
  <si>
    <t>NL</t>
  </si>
  <si>
    <t>Corner Brook</t>
  </si>
  <si>
    <t>TC Media</t>
  </si>
  <si>
    <t>The Telegram</t>
  </si>
  <si>
    <t>St. John's</t>
  </si>
  <si>
    <t>The Chronicle-Herald</t>
  </si>
  <si>
    <t>NS</t>
  </si>
  <si>
    <t>Halifax</t>
  </si>
  <si>
    <t>Aug 2013</t>
  </si>
  <si>
    <t>Halifax Herald Ltd.</t>
  </si>
  <si>
    <t>Metro Halifax</t>
  </si>
  <si>
    <t xml:space="preserve">TC Media &amp; Metro Intl. SA </t>
  </si>
  <si>
    <t>http://www.metronews.ca/halifax</t>
  </si>
  <si>
    <t>The News (New Glasgow)</t>
  </si>
  <si>
    <t>New Glasgow</t>
  </si>
  <si>
    <t>Cape Breton Post</t>
  </si>
  <si>
    <t>Sydney</t>
  </si>
  <si>
    <t>The Daily News (Truro)</t>
  </si>
  <si>
    <t>Truro</t>
  </si>
  <si>
    <t>July 2013</t>
  </si>
  <si>
    <t>Ontario</t>
  </si>
  <si>
    <t>ON</t>
  </si>
  <si>
    <t>Barrie</t>
  </si>
  <si>
    <t>Belleville</t>
  </si>
  <si>
    <t>Brantford</t>
  </si>
  <si>
    <t>Brockville</t>
  </si>
  <si>
    <t>T-Sa</t>
  </si>
  <si>
    <t>Chatham</t>
  </si>
  <si>
    <t>Cobourg/Port Hope</t>
  </si>
  <si>
    <t>Cornwall</t>
  </si>
  <si>
    <t>Fort Frances Daily Bulletin</t>
  </si>
  <si>
    <t>Fort Frances</t>
  </si>
  <si>
    <t>Guelph Mercury</t>
  </si>
  <si>
    <t>Guelph</t>
  </si>
  <si>
    <t>Torstar Corporation</t>
  </si>
  <si>
    <t>The Spectator</t>
  </si>
  <si>
    <t>Hamilton</t>
  </si>
  <si>
    <t>Kenora</t>
  </si>
  <si>
    <t>M-W,F</t>
  </si>
  <si>
    <t>The Kingston Whig-Standard</t>
  </si>
  <si>
    <t>Kingston</t>
  </si>
  <si>
    <t>The London Free Press</t>
  </si>
  <si>
    <t>London</t>
  </si>
  <si>
    <t>National Post</t>
  </si>
  <si>
    <t>National</t>
  </si>
  <si>
    <t>The Globe and Mail</t>
  </si>
  <si>
    <t>Oct 2012</t>
  </si>
  <si>
    <t>Globemedia Inc.</t>
  </si>
  <si>
    <t>Niagara Falls Review</t>
  </si>
  <si>
    <t>Niagara Falls</t>
  </si>
  <si>
    <t>The North Bay Nugget</t>
  </si>
  <si>
    <t>North Bay</t>
  </si>
  <si>
    <t>Orillia</t>
  </si>
  <si>
    <t>Ottawa/Gatineau</t>
  </si>
  <si>
    <t>Le Droit</t>
  </si>
  <si>
    <t>Power Corp. of Canada</t>
  </si>
  <si>
    <t>Ottawa Citizen</t>
  </si>
  <si>
    <t>Metro Ottawa</t>
  </si>
  <si>
    <t>http://www.metronews.ca/ottawa</t>
  </si>
  <si>
    <t>Owen Sound</t>
  </si>
  <si>
    <t>Pembroke</t>
  </si>
  <si>
    <t>The Peterborough Examiner</t>
  </si>
  <si>
    <t>Peterborough</t>
  </si>
  <si>
    <t>Sarnia</t>
  </si>
  <si>
    <t>Sault Ste. Marie</t>
  </si>
  <si>
    <t>Simcoe</t>
  </si>
  <si>
    <t>St. Catharines</t>
  </si>
  <si>
    <t>St. Thomas Times-Journal</t>
  </si>
  <si>
    <t>St. Thomas</t>
  </si>
  <si>
    <t>Stratford</t>
  </si>
  <si>
    <t>The Sudbury Star</t>
  </si>
  <si>
    <t>Sudbury</t>
  </si>
  <si>
    <t>The Chronicle-Journal</t>
  </si>
  <si>
    <t>Thunder Bay</t>
  </si>
  <si>
    <t>Timmins</t>
  </si>
  <si>
    <t>Toronto Star</t>
  </si>
  <si>
    <t>Toronto</t>
  </si>
  <si>
    <t>All-Day</t>
  </si>
  <si>
    <t>Metro Toronto</t>
  </si>
  <si>
    <t>http://www.metronews.ca/toronto</t>
  </si>
  <si>
    <t>Epoch Times (Toronto)</t>
  </si>
  <si>
    <t xml:space="preserve">Waterloo Region Record </t>
  </si>
  <si>
    <t>Waterloo</t>
  </si>
  <si>
    <t>Welland</t>
  </si>
  <si>
    <t>The Windsor Star</t>
  </si>
  <si>
    <t>Windsor</t>
  </si>
  <si>
    <t>Woodstock</t>
  </si>
  <si>
    <t>The Guardian</t>
  </si>
  <si>
    <t>PE</t>
  </si>
  <si>
    <t>Charlottetown</t>
  </si>
  <si>
    <t>The Journal-Pioneer</t>
  </si>
  <si>
    <t>Summerside</t>
  </si>
  <si>
    <t>Nov 2013</t>
  </si>
  <si>
    <t>Le Quotidien</t>
  </si>
  <si>
    <t>Québec</t>
  </si>
  <si>
    <t>QC</t>
  </si>
  <si>
    <t>Chicoutimi</t>
  </si>
  <si>
    <t>La Voix de l'Est</t>
  </si>
  <si>
    <t>Granby</t>
  </si>
  <si>
    <t>Le Journal de Montréal</t>
  </si>
  <si>
    <t>Montreal</t>
  </si>
  <si>
    <t>Sept 2012</t>
  </si>
  <si>
    <t>La Presse</t>
  </si>
  <si>
    <t>Le Devoir</t>
  </si>
  <si>
    <t>The Gazette</t>
  </si>
  <si>
    <t>Journal Metro</t>
  </si>
  <si>
    <t>http://www.journalmetro.com/</t>
  </si>
  <si>
    <t>Montreal 24 heures</t>
  </si>
  <si>
    <t>Le Journal de Québec</t>
  </si>
  <si>
    <t>Quebec City</t>
  </si>
  <si>
    <t>Le Soleil</t>
  </si>
  <si>
    <t>La Tribune</t>
  </si>
  <si>
    <t>Sherbrooke</t>
  </si>
  <si>
    <t>The Record (Sherbrooke)</t>
  </si>
  <si>
    <t>Le Nouvelliste</t>
  </si>
  <si>
    <t>Trois-Rivieres</t>
  </si>
  <si>
    <t>The Times-Herald</t>
  </si>
  <si>
    <t>SK</t>
  </si>
  <si>
    <t>Moose Jaw</t>
  </si>
  <si>
    <t>Prince Albert Daily Herald</t>
  </si>
  <si>
    <t>Prince Albert</t>
  </si>
  <si>
    <t>The Leader-Post</t>
  </si>
  <si>
    <t>Regina</t>
  </si>
  <si>
    <t>The StarPhoenix</t>
  </si>
  <si>
    <t>Saskatoon</t>
  </si>
  <si>
    <t>The Whitehorse Star</t>
  </si>
  <si>
    <t>YK</t>
  </si>
  <si>
    <t>Whitehorse</t>
  </si>
  <si>
    <t>2004</t>
  </si>
  <si>
    <t xml:space="preserve">TOTAL DAILY NEWSPAPERS </t>
  </si>
  <si>
    <t>Report Notes:</t>
  </si>
  <si>
    <r>
      <t xml:space="preserve">*Digital circulation is combined Paid and Non-Paid - </t>
    </r>
    <r>
      <rPr>
        <b/>
        <u/>
        <sz val="12"/>
        <color theme="1"/>
        <rFont val="Calibri"/>
        <family val="2"/>
        <scheme val="minor"/>
      </rPr>
      <t>already included</t>
    </r>
    <r>
      <rPr>
        <sz val="12"/>
        <color theme="1"/>
        <rFont val="Calibri"/>
        <family val="2"/>
        <scheme val="minor"/>
      </rPr>
      <t xml:space="preserve"> in Total Circulation column.</t>
    </r>
  </si>
  <si>
    <t>Daily newspapers defined as publications with minimum four days per week publishing schedule.</t>
  </si>
  <si>
    <t xml:space="preserve">All AAM data calculated as an average from March 30, 2014 and September 30, 2014 Snapshot report.  </t>
  </si>
  <si>
    <t>AAM Qualified Circulation = change to reporting effective Sept 30, 2013 Snapshot report.</t>
  </si>
  <si>
    <t>CCAB data is based on December 31, 2014 unless otherwise stated.</t>
  </si>
  <si>
    <t>CMCA data based on audits/verification reports throughout the 2014 year, unless otherwise stated.</t>
  </si>
  <si>
    <t>PS denotes Publisher's Statement - no audit available.</t>
  </si>
  <si>
    <t>Sing Tao (50% owned by Torstar) excluded from circulation analysis - no data available.</t>
  </si>
  <si>
    <r>
      <rPr>
        <b/>
        <u/>
        <sz val="12"/>
        <color rgb="FF00B050"/>
        <rFont val="Calibri"/>
        <family val="2"/>
        <scheme val="minor"/>
      </rPr>
      <t>2014 Changes:</t>
    </r>
    <r>
      <rPr>
        <sz val="12"/>
        <color rgb="FF00B050"/>
        <rFont val="Calibri"/>
        <family val="2"/>
        <scheme val="minor"/>
      </rPr>
      <t xml:space="preserve"> </t>
    </r>
  </si>
  <si>
    <t>Kamloops Daily News ceased publishing (1/2014), Dawson Creek Daily News merged with Alaska Highway News (2/2014)</t>
  </si>
  <si>
    <t xml:space="preserve">Nanaimo News Bulletin Daily, the Vernon Morningstar Daily and the Peace Arch News Daily ceased publishing (March 28, 2014) </t>
  </si>
  <si>
    <t>Metro London, Regina, Saskatoon ceased publishing (July 11, 2014)</t>
  </si>
  <si>
    <t>Colour denotes that data requires explanation - see below:</t>
  </si>
  <si>
    <r>
      <t xml:space="preserve">2013 AAM Snapshot Reports:  </t>
    </r>
    <r>
      <rPr>
        <sz val="12"/>
        <color rgb="FFC00000"/>
        <rFont val="Calibri"/>
        <family val="2"/>
        <scheme val="minor"/>
      </rPr>
      <t>Alberni Valley Times</t>
    </r>
  </si>
  <si>
    <r>
      <t xml:space="preserve">2013 CCAB Report:  </t>
    </r>
    <r>
      <rPr>
        <sz val="12"/>
        <color rgb="FFC00000"/>
        <rFont val="Calibri"/>
        <family val="2"/>
        <scheme val="minor"/>
      </rPr>
      <t>Journal Metro, Western Star (Corner Brook, NL)</t>
    </r>
  </si>
  <si>
    <r>
      <rPr>
        <b/>
        <sz val="12"/>
        <color rgb="FFC00000"/>
        <rFont val="Calibri"/>
        <family val="2"/>
        <scheme val="minor"/>
      </rPr>
      <t xml:space="preserve">2011 CCAB Audit Report: </t>
    </r>
    <r>
      <rPr>
        <sz val="12"/>
        <color rgb="FFC00000"/>
        <rFont val="Calibri"/>
        <family val="2"/>
        <scheme val="minor"/>
      </rPr>
      <t xml:space="preserve"> Prince Albert Daily Herald</t>
    </r>
  </si>
  <si>
    <r>
      <t xml:space="preserve">2010 CCAB Audit Reports:  </t>
    </r>
    <r>
      <rPr>
        <sz val="12"/>
        <color rgb="FFC00000"/>
        <rFont val="Calibri"/>
        <family val="2"/>
        <scheme val="minor"/>
      </rPr>
      <t>Barrie Examiner, Orillia Packet &amp; Times</t>
    </r>
  </si>
  <si>
    <r>
      <t xml:space="preserve">^Epoch Times Vancouver: </t>
    </r>
    <r>
      <rPr>
        <sz val="12"/>
        <color rgb="FFC00000"/>
        <rFont val="Calibri"/>
        <family val="2"/>
        <scheme val="minor"/>
      </rPr>
      <t>average 5,500 copies Mon-Thurs + 16,000 Friday, 7,000 Sat/Sun (Chinese language) + 12,500 English copies on Thurs</t>
    </r>
  </si>
  <si>
    <t>^^ Non paid weekday distribution shown in Sunday column:</t>
  </si>
  <si>
    <t>Northumberland Today - Thursday controlled circulation</t>
  </si>
  <si>
    <t>Cranbrook Daily Townsman - Thursday controlled circulation</t>
  </si>
  <si>
    <t>Barrie Examiner - Thursday controlled circulation</t>
  </si>
  <si>
    <t>Brockville Recorder and Times - Thursday controlled circulation</t>
  </si>
  <si>
    <t>Owen Sound Sun Times - Thursday controlled circulation</t>
  </si>
  <si>
    <t>Simcoe Reformer - Wednesday controlled circulation</t>
  </si>
  <si>
    <t>Prince George Citizen - Thursday controlled circulation</t>
  </si>
  <si>
    <t>Nanaimo Daily News - Thursday controlled circulation</t>
  </si>
  <si>
    <t>Jan 2014</t>
  </si>
  <si>
    <t>Feb 2014</t>
  </si>
  <si>
    <t>March 2014</t>
  </si>
  <si>
    <t>April 2014</t>
  </si>
  <si>
    <t>June 2014</t>
  </si>
  <si>
    <t>The Calgary Sun ~</t>
  </si>
  <si>
    <t>The Edmonton Sun ~</t>
  </si>
  <si>
    <t>~ 35 Sun Media titles sold to Postmedia October 2014 but under review by Competition Bureau - not finalized until April 2015</t>
  </si>
  <si>
    <t>The Sentinel-Review ~</t>
  </si>
  <si>
    <t>The Tribune (Welland) ~</t>
  </si>
  <si>
    <t>24 Hours Toronto ~</t>
  </si>
  <si>
    <t>The Barrie Examiner^^ ~</t>
  </si>
  <si>
    <t>Fort McMurray Today ~</t>
  </si>
  <si>
    <t>Daily Herald-Tribune ~</t>
  </si>
  <si>
    <t>24 Hours Vancouver ~</t>
  </si>
  <si>
    <t>Winnipeg Sun ~</t>
  </si>
  <si>
    <t>The Intelligencer ~</t>
  </si>
  <si>
    <t>The Expositor ~</t>
  </si>
  <si>
    <t>Brockville Recorder and Times^^ ~</t>
  </si>
  <si>
    <t>The Chatham Daily News ~</t>
  </si>
  <si>
    <t>Northumberland Today^^ ~</t>
  </si>
  <si>
    <t>Standard-Freeholder ~</t>
  </si>
  <si>
    <t>Daily Miner and News ~</t>
  </si>
  <si>
    <t>The Kingston Whig-Standard ~</t>
  </si>
  <si>
    <t>The London Free Press ~</t>
  </si>
  <si>
    <t>Niagara Falls Review ~</t>
  </si>
  <si>
    <t>The North Bay Nugget ~</t>
  </si>
  <si>
    <t>The Packet &amp; Times ~</t>
  </si>
  <si>
    <t>The Ottawa Sun ~</t>
  </si>
  <si>
    <t>The Sun Times^^ ~</t>
  </si>
  <si>
    <t>The Peterborough Examiner ~</t>
  </si>
  <si>
    <t>The Observer (Sarnia) ~</t>
  </si>
  <si>
    <t>The Sault Star ~</t>
  </si>
  <si>
    <t>The Simcoe Reformer^^ ~</t>
  </si>
  <si>
    <t>The Standard ~</t>
  </si>
  <si>
    <t>St. Thomas Times-Journal ~</t>
  </si>
  <si>
    <t>The Beacon Herald ~</t>
  </si>
  <si>
    <t>The Sudbury Star ~</t>
  </si>
  <si>
    <t>The Daily Press (Timmins) ~</t>
  </si>
  <si>
    <t>The Toronto Sun ~</t>
  </si>
  <si>
    <t>The Daily Observer(Pembroke)~</t>
  </si>
  <si>
    <t>ALTA Newspaper Group/Glacier (3)</t>
  </si>
  <si>
    <t>Independent (6)</t>
  </si>
  <si>
    <t>Quebecor/Sun Media (38)</t>
  </si>
  <si>
    <r>
      <rPr>
        <b/>
        <sz val="12"/>
        <color theme="4"/>
        <rFont val="Calibri"/>
        <family val="2"/>
        <scheme val="minor"/>
      </rPr>
      <t>TC Media (11)</t>
    </r>
    <r>
      <rPr>
        <sz val="8"/>
        <color theme="4"/>
        <rFont val="Calibri"/>
        <family val="2"/>
        <scheme val="minor"/>
      </rPr>
      <t xml:space="preserve"> </t>
    </r>
  </si>
  <si>
    <t>Lethbridge Herald #</t>
  </si>
  <si>
    <t>*L’Acadie Nouvelle, Caraquet</t>
  </si>
  <si>
    <t>Le Journal de Montréal #</t>
  </si>
  <si>
    <t>Cape Breton Post #</t>
  </si>
  <si>
    <t>Medicine Hat News #</t>
  </si>
  <si>
    <t>*Le Devoir, Montreal</t>
  </si>
  <si>
    <t>Le Journal de Québec #</t>
  </si>
  <si>
    <t>The Evening News, New Glasgow</t>
  </si>
  <si>
    <t>The Record, Sherbrooke</t>
  </si>
  <si>
    <t>The Brockville Recorder &amp; Times</t>
  </si>
  <si>
    <t>Truro Daily News #</t>
  </si>
  <si>
    <t>The Telegram, St. John’s #</t>
  </si>
  <si>
    <t>Black Press (4)</t>
  </si>
  <si>
    <t>*Epoch Times,  Vancouver</t>
  </si>
  <si>
    <t>Beacon-Herald, Stratford</t>
  </si>
  <si>
    <t>The Guardian, Charlottetown #</t>
  </si>
  <si>
    <t>Red Deer Advocate #</t>
  </si>
  <si>
    <t>*Epoch Times, Toronto</t>
  </si>
  <si>
    <t>The Simcoe Reformer</t>
  </si>
  <si>
    <t>The Journal Pioneer, PEI #</t>
  </si>
  <si>
    <t>The Trail Times #</t>
  </si>
  <si>
    <t>The Sentinel Review, Woodstock</t>
  </si>
  <si>
    <t>The Western Star, Corner Brook #</t>
  </si>
  <si>
    <t>Cranbrook Daily Townsman #</t>
  </si>
  <si>
    <r>
      <t>Postmedia Network Inc. (10)</t>
    </r>
    <r>
      <rPr>
        <sz val="12"/>
        <color theme="4"/>
        <rFont val="Calibri"/>
        <family val="2"/>
        <scheme val="minor"/>
      </rPr>
      <t xml:space="preserve"> </t>
    </r>
    <r>
      <rPr>
        <b/>
        <sz val="12"/>
        <color rgb="FFFF0000"/>
        <rFont val="Calibri"/>
        <family val="2"/>
        <scheme val="minor"/>
      </rPr>
      <t>^^</t>
    </r>
  </si>
  <si>
    <t>Winnipeg Sun #</t>
  </si>
  <si>
    <t>The Times-Herald, Moose Jaw</t>
  </si>
  <si>
    <t>The Daily Bulletin, Kimberley #</t>
  </si>
  <si>
    <t>The Gazette, Montreal #</t>
  </si>
  <si>
    <t>The Toronto Sun #</t>
  </si>
  <si>
    <t>Prince Albert Daily Herald #</t>
  </si>
  <si>
    <t>Ottawa Citizen #</t>
  </si>
  <si>
    <t>The Edmonton Sun #</t>
  </si>
  <si>
    <t>*Metro Halifax (with Metro Intl SA)</t>
  </si>
  <si>
    <t>Brunswick News Inc. (3)</t>
  </si>
  <si>
    <t>National Post #</t>
  </si>
  <si>
    <t>The Calgary Sun #</t>
  </si>
  <si>
    <t>*Journal Metro, Montreal</t>
  </si>
  <si>
    <t>Times &amp; Transcript, Moncton #</t>
  </si>
  <si>
    <t>The Windsor Star #</t>
  </si>
  <si>
    <t>The Ottawa Sun #</t>
  </si>
  <si>
    <t>The Daily Gleaner, Fredericton #</t>
  </si>
  <si>
    <t>The Leader-Post, Regina #</t>
  </si>
  <si>
    <t>Torstar Corp. (10)</t>
  </si>
  <si>
    <t>The Telegraph-Journal, Saint John #</t>
  </si>
  <si>
    <t>The StarPhoenix, Saskatoon #</t>
  </si>
  <si>
    <t>Daily Herald-Tribune, Grande Prairie</t>
  </si>
  <si>
    <t>Toronto Star #</t>
  </si>
  <si>
    <t>Calgary Herald #</t>
  </si>
  <si>
    <t>The Hamilton Spectator</t>
  </si>
  <si>
    <t>Continental Newspapers Canada Ltd. (3)</t>
  </si>
  <si>
    <t>Edmonton Journal #</t>
  </si>
  <si>
    <t>Daily Miner &amp; News, Kenora</t>
  </si>
  <si>
    <t>The Vancouver Sun #</t>
  </si>
  <si>
    <t>The Barrie Examiner</t>
  </si>
  <si>
    <t>The Record, Grand River Valley</t>
  </si>
  <si>
    <t>The Daily Courier, Kelowna</t>
  </si>
  <si>
    <t>The Province, Vancouver #</t>
  </si>
  <si>
    <t>The Chatham Daily News</t>
  </si>
  <si>
    <t>*Metro Calgary (with Metro Intl SA)</t>
  </si>
  <si>
    <t>The Chronicle Journal, Thunder Bay</t>
  </si>
  <si>
    <t>Northumberlandtoday.com</t>
  </si>
  <si>
    <t>*Metro Edmonton (with Metro Intl SA)</t>
  </si>
  <si>
    <t>^^ +35 Quebecor English dailies in red</t>
  </si>
  <si>
    <t>Cornwall Standard-Freeholder</t>
  </si>
  <si>
    <t>*Metro Vancouver (with Metro Intl SA)</t>
  </si>
  <si>
    <t>F.P. Canadian Newspapers LP (2)</t>
  </si>
  <si>
    <t>(sale announced Sept 2014)</t>
  </si>
  <si>
    <t>*Metro Winnipeg (with Metro Intl SA)</t>
  </si>
  <si>
    <t>St. Catharines Standard</t>
  </si>
  <si>
    <t>*Metro Ottawa (with Metro Intl SA)</t>
  </si>
  <si>
    <t>Power Corp. of Canada (7)</t>
  </si>
  <si>
    <t>The Expositor, Brantford</t>
  </si>
  <si>
    <t>*Metro Toronto (with Metro Intl SA)</t>
  </si>
  <si>
    <t>La Presse, Montreal</t>
  </si>
  <si>
    <t>Glacier Media (5)</t>
  </si>
  <si>
    <t>Le Nouvelliste, Trois-Rivieres</t>
  </si>
  <si>
    <t>The Tribune, Welland</t>
  </si>
  <si>
    <t>Alaska Highway News, Fort St. John</t>
  </si>
  <si>
    <t>La Tribune, Sherbrooke</t>
  </si>
  <si>
    <t>The Citizen, Prince George</t>
  </si>
  <si>
    <t>La Voix de l’Est, Granby</t>
  </si>
  <si>
    <t>The Intelligencer, Belleville</t>
  </si>
  <si>
    <t>Nanaimo Daily News</t>
  </si>
  <si>
    <t>Le Soleil, Quebec</t>
  </si>
  <si>
    <t>The Observer, Sarnia</t>
  </si>
  <si>
    <t>Times Colonist, Victoria #</t>
  </si>
  <si>
    <t>Le Quotidien, Chicoutimi</t>
  </si>
  <si>
    <t>The Sault Star, Sault Ste Marie</t>
  </si>
  <si>
    <t>Alberni Valley Times, Port Alberni</t>
  </si>
  <si>
    <t>Le Droit, Ottawa/Gatineau</t>
  </si>
  <si>
    <t>Notes:</t>
  </si>
  <si>
    <t>The Daily Press, Timmins</t>
  </si>
  <si>
    <t>Kamloops Daily News - closed (1/11/14)</t>
  </si>
  <si>
    <t>Globe and Mail Inc. (1)</t>
  </si>
  <si>
    <t>The Sun Times, Owen Sound</t>
  </si>
  <si>
    <t>Dawson Creek News - merged with Alaska Hwy News (2/3/14)</t>
  </si>
  <si>
    <t>The Globe and Mail #</t>
  </si>
  <si>
    <t>The Packet &amp; Times, Orillia</t>
  </si>
  <si>
    <t>Nanaimo News Bulletin Daily - closed (3/2/14)</t>
  </si>
  <si>
    <t>The Daily Observer, Pembroke</t>
  </si>
  <si>
    <t>Peace Arch News Daily (White Rock) - closed (3/2/14)</t>
  </si>
  <si>
    <t>Halifax Herald Ltd. (1)</t>
  </si>
  <si>
    <t>The Morning Star Daily (Vernon) - closed (3/2/14)</t>
  </si>
  <si>
    <t>The Chronicle-Herald, Halifax #</t>
  </si>
  <si>
    <t>*24 Hours Vancouver</t>
  </si>
  <si>
    <t>The Gazette (London) - re-classified as campus publication</t>
  </si>
  <si>
    <t>*24 Hours Toronto</t>
  </si>
  <si>
    <t>Metro Regina, Metro Saskatoon, Metro London - closed (7/2014)</t>
  </si>
  <si>
    <t>*Montreal 24 heures</t>
  </si>
  <si>
    <t>Sing Tao excluded from listing (50% Torstar)</t>
  </si>
  <si>
    <t>Grand Total</t>
  </si>
  <si>
    <t>AAM Snapshot March 2013</t>
  </si>
  <si>
    <t>AAM Snapshot September 2013</t>
  </si>
  <si>
    <t>AAM Snapshot Average March-September 2013/CMCA/CCAB 12 months ending December 2013</t>
  </si>
  <si>
    <t>Paid Circulation less 3rd Party</t>
  </si>
  <si>
    <t>Non-Paid+3rd Party Circulation</t>
  </si>
  <si>
    <t>The Calgary Sun</t>
  </si>
  <si>
    <t>The Edmonton Sun</t>
  </si>
  <si>
    <t>Daily Herald-Tribune</t>
  </si>
  <si>
    <t>Daily News (Dawson Creek)</t>
  </si>
  <si>
    <t>Dawson Creek</t>
  </si>
  <si>
    <t>The Kamloops Daily News</t>
  </si>
  <si>
    <t>Kamloops</t>
  </si>
  <si>
    <t>Nanaimo News Bulletin Daily</t>
  </si>
  <si>
    <t>24 Hours Vancouver</t>
  </si>
  <si>
    <t>Epoch Times (Vancouver)</t>
  </si>
  <si>
    <t>The Morning Star Daily</t>
  </si>
  <si>
    <t>Vernon</t>
  </si>
  <si>
    <t>Peace Arch News Daily</t>
  </si>
  <si>
    <t>White Rock</t>
  </si>
  <si>
    <t>Winnipeg Sun</t>
  </si>
  <si>
    <t>The Barrie Examiner^^</t>
  </si>
  <si>
    <t>The Intelligencer</t>
  </si>
  <si>
    <t>The Expositor</t>
  </si>
  <si>
    <t>Brockville Recorder and Times</t>
  </si>
  <si>
    <t xml:space="preserve">The Chatham Daily News </t>
  </si>
  <si>
    <t>NorthumberlandToday^^</t>
  </si>
  <si>
    <t>Standard-Freeholder</t>
  </si>
  <si>
    <t>Daily Miner and News</t>
  </si>
  <si>
    <t>Metro London</t>
  </si>
  <si>
    <t>The Packet &amp; Times</t>
  </si>
  <si>
    <t>The Ottawa Sun</t>
  </si>
  <si>
    <t>The Sun Times^^</t>
  </si>
  <si>
    <t>The Daily Observer (Pembroke)</t>
  </si>
  <si>
    <t>The Observer (Sarnia)</t>
  </si>
  <si>
    <t>The Sault Star</t>
  </si>
  <si>
    <t>The Simcoe Reformer^^</t>
  </si>
  <si>
    <t>The Standard</t>
  </si>
  <si>
    <t>The Beacon Herald</t>
  </si>
  <si>
    <t>The Daily Press (Timmins)</t>
  </si>
  <si>
    <t>The Toronto Sun</t>
  </si>
  <si>
    <t>24 Hours Toronto</t>
  </si>
  <si>
    <t>The Tribune (Welland)</t>
  </si>
  <si>
    <t>The Sentinel-Review</t>
  </si>
  <si>
    <t>Metro Regina</t>
  </si>
  <si>
    <t>Metro Saskatoon</t>
  </si>
  <si>
    <t xml:space="preserve">All AAM data calculated as an average from March 30, 2013 and September 30, 2013 Snapshot report.  </t>
  </si>
  <si>
    <t>AAM Qualified Circulation = non paid circulation + sponsored by 3rd party - change to reporting effective Sept 30, 2013 Snapshot report.</t>
  </si>
  <si>
    <t>CCAB and CMCA data is based on December 31, 2013 unless otherwise stated.</t>
  </si>
  <si>
    <t>* 2013 Changes</t>
  </si>
  <si>
    <r>
      <rPr>
        <b/>
        <sz val="12"/>
        <color theme="1"/>
        <rFont val="Calibri"/>
        <family val="2"/>
        <scheme val="minor"/>
      </rPr>
      <t xml:space="preserve">Changes to publishing frequency: </t>
    </r>
    <r>
      <rPr>
        <sz val="12"/>
        <color theme="1"/>
        <rFont val="Calibri"/>
        <family val="2"/>
        <scheme val="minor"/>
      </rPr>
      <t xml:space="preserve">  t.o.night moved to weekly (Jan 2013), Daily Graphic (Portage la Prairie) moved to weekly (March 2013),  Amherst Daily News (NS) moved to weekly (Aug 2013)</t>
    </r>
  </si>
  <si>
    <r>
      <rPr>
        <b/>
        <sz val="12"/>
        <color theme="1"/>
        <rFont val="Calibri"/>
        <family val="2"/>
        <scheme val="minor"/>
      </rPr>
      <t xml:space="preserve">Ceased publication:  </t>
    </r>
    <r>
      <rPr>
        <sz val="12"/>
        <color theme="1"/>
        <rFont val="Calibri"/>
        <family val="2"/>
        <scheme val="minor"/>
      </rPr>
      <t>Cowichan Valley News Leader Pictorial Daily (March 2013), Fraser Valley Daily (May 2013), Campbell River/Comox Daily (December 2013), Victoria Daily (November 2013), Golden Ears Daily (November 2013)</t>
    </r>
  </si>
  <si>
    <t>24 Hours Ottawa, Calgary, Edmonton  (July 2013)</t>
  </si>
  <si>
    <t xml:space="preserve">The following free distribution daily newspapers ceased publishing March 28, 2014:  Nanaimo News Bulletin Daily, the Vernon Morningstar Daily and the Peace Arch News Daily </t>
  </si>
  <si>
    <r>
      <rPr>
        <b/>
        <sz val="12"/>
        <color rgb="FFC00000"/>
        <rFont val="Calibri"/>
        <family val="2"/>
        <scheme val="minor"/>
      </rPr>
      <t>Data available for March 31 2013 Snapshot only:</t>
    </r>
    <r>
      <rPr>
        <sz val="12"/>
        <color rgb="FFC00000"/>
        <rFont val="Calibri"/>
        <family val="2"/>
        <scheme val="minor"/>
      </rPr>
      <t xml:space="preserve">  The Record (Sherbrooke), Daily Gleaner (Fredericton), NB Telegraph Journal, Times Transcript (Moncton)</t>
    </r>
  </si>
  <si>
    <r>
      <t xml:space="preserve">2012 CCAB Audit Reports:  </t>
    </r>
    <r>
      <rPr>
        <sz val="12"/>
        <color rgb="FFC00000"/>
        <rFont val="Calibri"/>
        <family val="2"/>
        <scheme val="minor"/>
      </rPr>
      <t>24 Hours Toronto, 24 Hours Vancouver</t>
    </r>
  </si>
  <si>
    <r>
      <t xml:space="preserve">2010 CCAB Audit Reports:  </t>
    </r>
    <r>
      <rPr>
        <sz val="12"/>
        <color rgb="FFC00000"/>
        <rFont val="Calibri"/>
        <family val="2"/>
        <scheme val="minor"/>
      </rPr>
      <t>Barrie Examiner, Brockville Recorder &amp; Times, Orillia Packet &amp; Times, Owen Sound Sun Times, Pembroke Daily Observer, Simcoe Reformer, St. Thomas Times Journal</t>
    </r>
  </si>
  <si>
    <r>
      <t xml:space="preserve">Publisher's Statement only (PS):  </t>
    </r>
    <r>
      <rPr>
        <sz val="12"/>
        <color rgb="FFC00000"/>
        <rFont val="Calibri"/>
        <family val="2"/>
        <scheme val="minor"/>
      </rPr>
      <t xml:space="preserve"> Kenora Daily Miner &amp; News, L'Acadie Nouvelle, Woodstock Sentinel Review</t>
    </r>
  </si>
  <si>
    <t>Simcoe Reformer - Tuesday controlled circulation</t>
  </si>
  <si>
    <t>Globemedia Inc. (1)</t>
  </si>
  <si>
    <t>The Telegram, St. John’s</t>
  </si>
  <si>
    <t>Black Press (7)</t>
  </si>
  <si>
    <t>The Journal Pioneer, Summerside PE #</t>
  </si>
  <si>
    <t>The Western Star, Corner Brook</t>
  </si>
  <si>
    <t>Cranbrook Daily Townsman</t>
  </si>
  <si>
    <t>The Daily Bulletin, Kimberley</t>
  </si>
  <si>
    <t>*Nanaimo News Bulletin Daily</t>
  </si>
  <si>
    <t>*Peace Arch News Daily (White Rock)</t>
  </si>
  <si>
    <t>*The Morning Star Daily (Vernon)</t>
  </si>
  <si>
    <t>Torstar Corp. (13)</t>
  </si>
  <si>
    <r>
      <t>Postmedia Network Inc. (10)</t>
    </r>
    <r>
      <rPr>
        <sz val="12"/>
        <color theme="4"/>
        <rFont val="Calibri"/>
        <family val="2"/>
        <scheme val="minor"/>
      </rPr>
      <t xml:space="preserve"> </t>
    </r>
  </si>
  <si>
    <t>Northumberland Today</t>
  </si>
  <si>
    <t>*Metro London (with Metro Intl SA)</t>
  </si>
  <si>
    <t>*Metro Regina (with Metro Intl SA)</t>
  </si>
  <si>
    <t>*Metro Saskatoon (with Metro Intl SA)</t>
  </si>
  <si>
    <t>Glacier Media (7)</t>
  </si>
  <si>
    <t>Sing Tao Newspapers (1)</t>
  </si>
  <si>
    <t>Sing Tao Daily (50% Torstar)</t>
  </si>
  <si>
    <t>Dawson Creek Daily News</t>
  </si>
  <si>
    <t>t.o.night changed to weekly (01/13)</t>
  </si>
  <si>
    <t xml:space="preserve">Daily Graphic changed to weekly (03/13) </t>
  </si>
  <si>
    <t>Amherst Daily News changed to weekly (7/13)</t>
  </si>
  <si>
    <t>Cowichan News Leader Pictorial Daily closed (03/13)</t>
  </si>
  <si>
    <t>24 Hours Ottawa, Calgary, Edmonton closed  (8/13)</t>
  </si>
  <si>
    <t>Campbell River/Comox Valley Daily closed 12/20/13</t>
  </si>
  <si>
    <t>Golden Ears Daily, Victoria News Daily closed 11/29/13</t>
  </si>
  <si>
    <t>Fraser Valley Daily closed 5/31/13</t>
  </si>
  <si>
    <t>The Gazette (London) re-classified as campus publication</t>
  </si>
  <si>
    <t>Row Labels</t>
  </si>
  <si>
    <t>Sum of Weekly Total (Print/Digital)</t>
  </si>
  <si>
    <t>Sum of Daily Avg. (Print/Digital)</t>
  </si>
  <si>
    <t>Sum of Total Weekly Digital ONLY*</t>
  </si>
  <si>
    <t>Notes</t>
  </si>
  <si>
    <t>Sunday stopped publishing Aug 5, 2012</t>
  </si>
  <si>
    <t>Sunday stopped publishing June 30, 2012</t>
  </si>
  <si>
    <t>Publishers Claim February 1, 2013</t>
  </si>
  <si>
    <t>Publishers Claim January 4, 2013</t>
  </si>
  <si>
    <t>Publishers Claim November 7, 2012</t>
  </si>
  <si>
    <t>Publisher's Claim March 2013</t>
  </si>
  <si>
    <t>Publishers Claim December 31, 2011</t>
  </si>
  <si>
    <t>CMCA June 30, 2012</t>
  </si>
  <si>
    <t>CMCA April 30, 2012</t>
  </si>
  <si>
    <t>Publishers Claim - www.qmisales.ca</t>
  </si>
  <si>
    <t>2010 CCAB audit report - www.qmisales.ca</t>
  </si>
  <si>
    <t>Sunday stopped publishing July 22, 2012</t>
  </si>
  <si>
    <t>Publishers Claim 2012</t>
  </si>
  <si>
    <t>Data available for Sept 30 Fas-Fax only</t>
  </si>
  <si>
    <t>Publishers Claim February 2013</t>
  </si>
  <si>
    <t>CCAB December 2011</t>
  </si>
  <si>
    <t>TOTAL DAILY NEWSPAPERS 2014</t>
  </si>
  <si>
    <t>TOTAL DAILY NEWSPAPERS 2013</t>
  </si>
  <si>
    <t>Difference</t>
  </si>
  <si>
    <t>% Change</t>
  </si>
  <si>
    <r>
      <t xml:space="preserve">2013 CMCA Report:  </t>
    </r>
    <r>
      <rPr>
        <sz val="12"/>
        <color rgb="FFC00000"/>
        <rFont val="Calibri"/>
        <family val="2"/>
        <scheme val="minor"/>
      </rPr>
      <t>Alaska Highway News (Fort St. John), Cranbrook Daily Townsman, Daily Bulletin (Kimberley), Trail Times, The News (New Glasgow), The Daily News (Truro), Northumberland Today, St. Thomas Times Journal, Pembroke Daily Observer</t>
    </r>
  </si>
  <si>
    <r>
      <t xml:space="preserve">Publisher's Statement only (PS):  </t>
    </r>
    <r>
      <rPr>
        <sz val="12"/>
        <color rgb="FFC00000"/>
        <rFont val="Calibri"/>
        <family val="2"/>
        <scheme val="minor"/>
      </rPr>
      <t xml:space="preserve"> Kenora Daily Miner &amp; News (distribution statement), L'Acadie Nouvelle, Woodstock Sentinel Review, The Record, Sherbrooke (October 15, 2014), Fort Frances Daily Bulletin (March 28, 2014), Moose Jaw Times Herald, Owen Sound Sun Times, Timmins Daily Press (2012)</t>
    </r>
  </si>
  <si>
    <t>Note: Sunday Totals exclude non paid weekday distribution above.</t>
  </si>
  <si>
    <t>Publisher's claim September 2011</t>
  </si>
  <si>
    <t>Publishers Claim January 22, 2013</t>
  </si>
  <si>
    <t>6 months ending September 30, 2012</t>
  </si>
  <si>
    <t>Publisher's claim November 2012</t>
  </si>
  <si>
    <t>http://www.bclocalnews.com/daily/victoria/#</t>
  </si>
  <si>
    <t>Publisher's claim March 2012</t>
  </si>
  <si>
    <t>http://www.bclocalnews.com/daily/whiterock/</t>
  </si>
  <si>
    <t>http://www.metronews.ca/london</t>
  </si>
  <si>
    <t>www.qmisales.ca</t>
  </si>
  <si>
    <t># Newspapers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</si>
</sst>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_-;\-* #,##0_-;_-* &quot;-&quot;??_-;_-@_-"/>
    <numFmt numFmtId="165" formatCode="_(* #,##0.00_);_(* \(#,##0.00\);_(* &quot;-&quot;??_);_(@_)"/>
    <numFmt numFmtId="166" formatCode="0.0%"/>
  </numFmts>
  <fonts count="80">
    <font>
      <sz val="11"/>
      <color theme="1"/>
      <name val="Calibri"/>
      <family val="2"/>
      <scheme val="minor"/>
    </font>
    <font>
      <sz val="11"/>
      <color theme="1"/>
      <name val="Calibri"/>
      <family val="2"/>
      <scheme val="minor"/>
    </font>
    <font>
      <b/>
      <sz val="11"/>
      <color theme="1"/>
      <name val="Calibri"/>
      <family val="2"/>
      <scheme val="minor"/>
    </font>
    <font>
      <sz val="9"/>
      <name val="Calibri"/>
      <family val="2"/>
      <scheme val="minor"/>
    </font>
    <font>
      <i/>
      <sz val="9"/>
      <name val="Calibri"/>
      <family val="2"/>
      <scheme val="minor"/>
    </font>
    <font>
      <b/>
      <sz val="9"/>
      <name val="Calibri"/>
      <family val="2"/>
      <scheme val="minor"/>
    </font>
    <font>
      <i/>
      <sz val="9"/>
      <color rgb="FF00518E"/>
      <name val="Calibri"/>
      <family val="2"/>
      <scheme val="minor"/>
    </font>
    <font>
      <b/>
      <sz val="9"/>
      <color rgb="FF00518E"/>
      <name val="Calibri"/>
      <family val="2"/>
      <scheme val="minor"/>
    </font>
    <font>
      <b/>
      <sz val="8"/>
      <color rgb="FF00518E"/>
      <name val="Calibri"/>
      <family val="2"/>
      <scheme val="minor"/>
    </font>
    <font>
      <b/>
      <sz val="7"/>
      <color rgb="FF00518E"/>
      <name val="Calibri"/>
      <family val="2"/>
      <scheme val="minor"/>
    </font>
    <font>
      <sz val="9"/>
      <color rgb="FF00518E"/>
      <name val="Calibri"/>
      <family val="2"/>
      <scheme val="minor"/>
    </font>
    <font>
      <sz val="8"/>
      <color rgb="FF00518E"/>
      <name val="Calibri"/>
      <family val="2"/>
      <scheme val="minor"/>
    </font>
    <font>
      <b/>
      <sz val="10"/>
      <color indexed="8"/>
      <name val="Calibri"/>
      <family val="2"/>
      <scheme val="minor"/>
    </font>
    <font>
      <sz val="10"/>
      <color indexed="8"/>
      <name val="Calibri"/>
      <family val="2"/>
      <scheme val="minor"/>
    </font>
    <font>
      <b/>
      <sz val="10"/>
      <name val="Calibri"/>
      <family val="2"/>
      <scheme val="minor"/>
    </font>
    <font>
      <sz val="11"/>
      <color rgb="FF0070C0"/>
      <name val="Calibri"/>
      <family val="2"/>
      <scheme val="minor"/>
    </font>
    <font>
      <b/>
      <sz val="11"/>
      <color rgb="FF0070C0"/>
      <name val="Calibri"/>
      <family val="2"/>
      <scheme val="minor"/>
    </font>
    <font>
      <u/>
      <sz val="10.45"/>
      <color indexed="12"/>
      <name val="GarmdITC Bk BT"/>
    </font>
    <font>
      <u/>
      <sz val="11"/>
      <color rgb="FF0070C0"/>
      <name val="Calibri"/>
      <family val="2"/>
      <scheme val="minor"/>
    </font>
    <font>
      <sz val="11"/>
      <color rgb="FFC00000"/>
      <name val="Calibri"/>
      <family val="2"/>
      <scheme val="minor"/>
    </font>
    <font>
      <i/>
      <sz val="11"/>
      <color rgb="FF0070C0"/>
      <name val="Calibri"/>
      <family val="2"/>
      <scheme val="minor"/>
    </font>
    <font>
      <b/>
      <sz val="11"/>
      <color rgb="FFC00000"/>
      <name val="Calibri"/>
      <family val="2"/>
      <scheme val="minor"/>
    </font>
    <font>
      <b/>
      <i/>
      <sz val="11"/>
      <color rgb="FFC00000"/>
      <name val="Calibri"/>
      <family val="2"/>
      <scheme val="minor"/>
    </font>
    <font>
      <i/>
      <sz val="11"/>
      <color rgb="FFC00000"/>
      <name val="Calibri"/>
      <family val="2"/>
      <scheme val="minor"/>
    </font>
    <font>
      <u/>
      <sz val="11"/>
      <color rgb="FFC00000"/>
      <name val="Calibri"/>
      <family val="2"/>
      <scheme val="minor"/>
    </font>
    <font>
      <sz val="11"/>
      <color rgb="FF00B050"/>
      <name val="Calibri"/>
      <family val="2"/>
      <scheme val="minor"/>
    </font>
    <font>
      <b/>
      <sz val="12"/>
      <color theme="1"/>
      <name val="Calibri"/>
      <family val="2"/>
      <scheme val="minor"/>
    </font>
    <font>
      <sz val="12"/>
      <color theme="1"/>
      <name val="Calibri"/>
      <family val="2"/>
      <scheme val="minor"/>
    </font>
    <font>
      <b/>
      <u/>
      <sz val="12"/>
      <color theme="1"/>
      <name val="Calibri"/>
      <family val="2"/>
      <scheme val="minor"/>
    </font>
    <font>
      <sz val="9"/>
      <color rgb="FF0070C0"/>
      <name val="Calibri"/>
      <family val="2"/>
      <scheme val="minor"/>
    </font>
    <font>
      <i/>
      <sz val="9"/>
      <color rgb="FF0070C0"/>
      <name val="Calibri"/>
      <family val="2"/>
      <scheme val="minor"/>
    </font>
    <font>
      <b/>
      <sz val="9"/>
      <color rgb="FF0070C0"/>
      <name val="Calibri"/>
      <family val="2"/>
      <scheme val="minor"/>
    </font>
    <font>
      <sz val="9"/>
      <color indexed="12"/>
      <name val="Calibri"/>
      <family val="2"/>
      <scheme val="minor"/>
    </font>
    <font>
      <sz val="12"/>
      <color rgb="FF00B050"/>
      <name val="Calibri"/>
      <family val="2"/>
      <scheme val="minor"/>
    </font>
    <font>
      <b/>
      <u/>
      <sz val="12"/>
      <color rgb="FF00B050"/>
      <name val="Calibri"/>
      <family val="2"/>
      <scheme val="minor"/>
    </font>
    <font>
      <sz val="9"/>
      <color rgb="FF00B050"/>
      <name val="Calibri"/>
      <family val="2"/>
      <scheme val="minor"/>
    </font>
    <font>
      <i/>
      <sz val="9"/>
      <color rgb="FF00B050"/>
      <name val="Calibri"/>
      <family val="2"/>
      <scheme val="minor"/>
    </font>
    <font>
      <u/>
      <sz val="9"/>
      <color rgb="FF00B050"/>
      <name val="Calibri"/>
      <family val="2"/>
      <scheme val="minor"/>
    </font>
    <font>
      <b/>
      <sz val="9"/>
      <color rgb="FF00B050"/>
      <name val="Calibri"/>
      <family val="2"/>
      <scheme val="minor"/>
    </font>
    <font>
      <sz val="9"/>
      <color rgb="FFC00000"/>
      <name val="Calibri"/>
      <family val="2"/>
      <scheme val="minor"/>
    </font>
    <font>
      <i/>
      <sz val="9"/>
      <color rgb="FFC00000"/>
      <name val="Calibri"/>
      <family val="2"/>
      <scheme val="minor"/>
    </font>
    <font>
      <u/>
      <sz val="9"/>
      <color rgb="FFC00000"/>
      <name val="Calibri"/>
      <family val="2"/>
      <scheme val="minor"/>
    </font>
    <font>
      <b/>
      <sz val="9"/>
      <color rgb="FFC00000"/>
      <name val="Calibri"/>
      <family val="2"/>
      <scheme val="minor"/>
    </font>
    <font>
      <b/>
      <u/>
      <sz val="12"/>
      <color rgb="FFC00000"/>
      <name val="Calibri"/>
      <family val="2"/>
      <scheme val="minor"/>
    </font>
    <font>
      <b/>
      <sz val="12"/>
      <color rgb="FFC00000"/>
      <name val="Calibri"/>
      <family val="2"/>
      <scheme val="minor"/>
    </font>
    <font>
      <sz val="12"/>
      <color rgb="FFC00000"/>
      <name val="Calibri"/>
      <family val="2"/>
      <scheme val="minor"/>
    </font>
    <font>
      <i/>
      <sz val="9"/>
      <color indexed="12"/>
      <name val="Calibri"/>
      <family val="2"/>
      <scheme val="minor"/>
    </font>
    <font>
      <b/>
      <sz val="9"/>
      <color indexed="12"/>
      <name val="Calibri"/>
      <family val="2"/>
      <scheme val="minor"/>
    </font>
    <font>
      <sz val="11"/>
      <color indexed="12"/>
      <name val="Calibri"/>
      <family val="2"/>
      <scheme val="minor"/>
    </font>
    <font>
      <i/>
      <sz val="11"/>
      <color indexed="12"/>
      <name val="Calibri"/>
      <family val="2"/>
      <scheme val="minor"/>
    </font>
    <font>
      <b/>
      <sz val="11"/>
      <color indexed="12"/>
      <name val="Calibri"/>
      <family val="2"/>
      <scheme val="minor"/>
    </font>
    <font>
      <sz val="11"/>
      <name val="Calibri"/>
      <family val="2"/>
      <scheme val="minor"/>
    </font>
    <font>
      <i/>
      <sz val="11"/>
      <name val="Calibri"/>
      <family val="2"/>
      <scheme val="minor"/>
    </font>
    <font>
      <b/>
      <sz val="11"/>
      <name val="Calibri"/>
      <family val="2"/>
      <scheme val="minor"/>
    </font>
    <font>
      <sz val="11"/>
      <color indexed="8"/>
      <name val="Calibri"/>
      <family val="2"/>
    </font>
    <font>
      <sz val="12"/>
      <name val="GarmdITC Bk BT"/>
    </font>
    <font>
      <sz val="10"/>
      <name val="Arial"/>
      <family val="2"/>
    </font>
    <font>
      <sz val="12"/>
      <name val="SWISS"/>
    </font>
    <font>
      <sz val="12"/>
      <name val="Arial"/>
      <family val="2"/>
    </font>
    <font>
      <b/>
      <sz val="11"/>
      <color rgb="FF00B050"/>
      <name val="Calibri"/>
      <family val="2"/>
      <scheme val="minor"/>
    </font>
    <font>
      <i/>
      <sz val="11"/>
      <color rgb="FF00B050"/>
      <name val="Calibri"/>
      <family val="2"/>
      <scheme val="minor"/>
    </font>
    <font>
      <b/>
      <sz val="12"/>
      <color theme="4"/>
      <name val="Calibri"/>
      <family val="2"/>
      <scheme val="minor"/>
    </font>
    <font>
      <b/>
      <sz val="10"/>
      <color theme="4"/>
      <name val="Calibri"/>
      <family val="2"/>
      <scheme val="minor"/>
    </font>
    <font>
      <sz val="8"/>
      <color theme="4"/>
      <name val="Calibri"/>
      <family val="2"/>
      <scheme val="minor"/>
    </font>
    <font>
      <b/>
      <sz val="10"/>
      <color theme="1"/>
      <name val="Calibri"/>
      <family val="2"/>
      <scheme val="minor"/>
    </font>
    <font>
      <i/>
      <sz val="11"/>
      <color rgb="FFFF0000"/>
      <name val="Calibri"/>
      <family val="2"/>
      <scheme val="minor"/>
    </font>
    <font>
      <sz val="11"/>
      <color rgb="FFAED246"/>
      <name val="Calibri"/>
      <family val="2"/>
      <scheme val="minor"/>
    </font>
    <font>
      <sz val="12"/>
      <color theme="4"/>
      <name val="Calibri"/>
      <family val="2"/>
      <scheme val="minor"/>
    </font>
    <font>
      <b/>
      <sz val="12"/>
      <color rgb="FFFF0000"/>
      <name val="Calibri"/>
      <family val="2"/>
      <scheme val="minor"/>
    </font>
    <font>
      <sz val="11"/>
      <color theme="3"/>
      <name val="Calibri"/>
      <family val="2"/>
      <scheme val="minor"/>
    </font>
    <font>
      <b/>
      <i/>
      <sz val="11"/>
      <color rgb="FFFF0000"/>
      <name val="Calibri"/>
      <family val="2"/>
      <scheme val="minor"/>
    </font>
    <font>
      <b/>
      <i/>
      <sz val="9"/>
      <color theme="4"/>
      <name val="Calibri"/>
      <family val="2"/>
      <scheme val="minor"/>
    </font>
    <font>
      <i/>
      <sz val="9"/>
      <color theme="1"/>
      <name val="Calibri"/>
      <family val="2"/>
      <scheme val="minor"/>
    </font>
    <font>
      <strike/>
      <sz val="11"/>
      <color theme="3"/>
      <name val="Calibri"/>
      <family val="2"/>
      <scheme val="minor"/>
    </font>
    <font>
      <i/>
      <u/>
      <sz val="9"/>
      <color indexed="12"/>
      <name val="Calibri"/>
      <family val="2"/>
      <scheme val="minor"/>
    </font>
    <font>
      <b/>
      <i/>
      <sz val="9"/>
      <color indexed="12"/>
      <name val="Calibri"/>
      <family val="2"/>
      <scheme val="minor"/>
    </font>
    <font>
      <b/>
      <i/>
      <sz val="11"/>
      <color rgb="FF0070C0"/>
      <name val="Calibri"/>
      <family val="2"/>
      <scheme val="minor"/>
    </font>
    <font>
      <b/>
      <i/>
      <sz val="9"/>
      <color rgb="FF0070C0"/>
      <name val="Calibri"/>
      <family val="2"/>
      <scheme val="minor"/>
    </font>
    <font>
      <b/>
      <i/>
      <sz val="11"/>
      <color indexed="12"/>
      <name val="Calibri"/>
      <family val="2"/>
      <scheme val="minor"/>
    </font>
    <font>
      <u/>
      <sz val="11"/>
      <color indexed="12"/>
      <name val="Calibri"/>
      <family val="2"/>
      <scheme val="minor"/>
    </font>
  </fonts>
  <fills count="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indexed="9"/>
        <bgColor indexed="8"/>
      </patternFill>
    </fill>
    <fill>
      <patternFill patternType="solid">
        <fgColor indexed="9"/>
      </patternFill>
    </fill>
  </fills>
  <borders count="16">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11">
    <xf numFmtId="0" fontId="0" fillId="0" borderId="0"/>
    <xf numFmtId="43" fontId="1" fillId="0" borderId="0" applyFont="0" applyFill="0" applyBorder="0" applyAlignment="0" applyProtection="0"/>
    <xf numFmtId="0" fontId="17" fillId="0" borderId="0" applyNumberFormat="0" applyFill="0" applyBorder="0" applyAlignment="0" applyProtection="0">
      <alignment vertical="top"/>
      <protection locked="0"/>
    </xf>
    <xf numFmtId="165" fontId="54" fillId="0" borderId="0" applyFont="0" applyFill="0" applyBorder="0" applyAlignment="0" applyProtection="0"/>
    <xf numFmtId="0" fontId="55" fillId="7" borderId="0"/>
    <xf numFmtId="0" fontId="56" fillId="0" borderId="0" applyNumberFormat="0" applyFont="0" applyFill="0" applyBorder="0" applyAlignment="0" applyProtection="0"/>
    <xf numFmtId="0" fontId="56" fillId="0" borderId="0"/>
    <xf numFmtId="0" fontId="55" fillId="0" borderId="0"/>
    <xf numFmtId="0" fontId="57" fillId="8" borderId="0"/>
    <xf numFmtId="0" fontId="58" fillId="8" borderId="0"/>
    <xf numFmtId="9" fontId="1" fillId="0" borderId="0" applyFont="0" applyFill="0" applyBorder="0" applyAlignment="0" applyProtection="0"/>
  </cellStyleXfs>
  <cellXfs count="425">
    <xf numFmtId="0" fontId="0" fillId="0" borderId="0" xfId="0"/>
    <xf numFmtId="0" fontId="3" fillId="2" borderId="0" xfId="0" applyNumberFormat="1" applyFont="1" applyFill="1" applyAlignment="1">
      <alignment wrapText="1"/>
    </xf>
    <xf numFmtId="0" fontId="3" fillId="2" borderId="0" xfId="0" applyNumberFormat="1" applyFont="1" applyFill="1" applyAlignment="1">
      <alignment horizontal="center"/>
    </xf>
    <xf numFmtId="0" fontId="4" fillId="2" borderId="0" xfId="0" applyNumberFormat="1" applyFont="1" applyFill="1" applyAlignment="1">
      <alignment horizontal="center"/>
    </xf>
    <xf numFmtId="0" fontId="4" fillId="2" borderId="0" xfId="0" applyNumberFormat="1" applyFont="1" applyFill="1" applyAlignment="1">
      <alignment horizontal="left"/>
    </xf>
    <xf numFmtId="164" fontId="4" fillId="2" borderId="0" xfId="1" applyNumberFormat="1" applyFont="1" applyFill="1" applyAlignment="1">
      <alignment horizontal="left"/>
    </xf>
    <xf numFmtId="0" fontId="3" fillId="2" borderId="0" xfId="0" applyNumberFormat="1" applyFont="1" applyFill="1" applyAlignment="1">
      <alignment horizontal="left"/>
    </xf>
    <xf numFmtId="3" fontId="5" fillId="2" borderId="0" xfId="0" applyNumberFormat="1" applyFont="1" applyFill="1" applyBorder="1"/>
    <xf numFmtId="0" fontId="3" fillId="0" borderId="0" xfId="0" applyNumberFormat="1" applyFont="1" applyFill="1" applyBorder="1"/>
    <xf numFmtId="0" fontId="3" fillId="0" borderId="0" xfId="0" applyNumberFormat="1" applyFont="1" applyFill="1" applyBorder="1" applyAlignment="1">
      <alignment horizontal="center"/>
    </xf>
    <xf numFmtId="0" fontId="3" fillId="0" borderId="0" xfId="0" applyNumberFormat="1" applyFont="1" applyFill="1"/>
    <xf numFmtId="0" fontId="6" fillId="2" borderId="0" xfId="0" applyNumberFormat="1" applyFont="1" applyFill="1" applyBorder="1" applyAlignment="1">
      <alignment vertical="center" wrapText="1"/>
    </xf>
    <xf numFmtId="0" fontId="6" fillId="2" borderId="0" xfId="0" applyNumberFormat="1" applyFont="1" applyFill="1" applyBorder="1" applyAlignment="1">
      <alignment horizontal="left" vertical="center"/>
    </xf>
    <xf numFmtId="164" fontId="6" fillId="2" borderId="0" xfId="1" applyNumberFormat="1" applyFont="1" applyFill="1" applyBorder="1" applyAlignment="1">
      <alignment horizontal="left" vertical="center"/>
    </xf>
    <xf numFmtId="0" fontId="6" fillId="0" borderId="0" xfId="0" applyNumberFormat="1" applyFont="1" applyFill="1" applyBorder="1" applyAlignment="1">
      <alignment vertical="center"/>
    </xf>
    <xf numFmtId="0" fontId="10" fillId="0" borderId="0" xfId="0" applyNumberFormat="1" applyFont="1" applyFill="1" applyBorder="1" applyAlignment="1">
      <alignment horizontal="center" vertical="center"/>
    </xf>
    <xf numFmtId="0" fontId="12" fillId="0" borderId="2"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2" fillId="0" borderId="5" xfId="0" applyNumberFormat="1"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164" fontId="12" fillId="0" borderId="3" xfId="1" applyNumberFormat="1" applyFont="1" applyFill="1" applyBorder="1" applyAlignment="1">
      <alignment horizontal="center" vertical="center" wrapText="1"/>
    </xf>
    <xf numFmtId="0" fontId="12" fillId="3" borderId="3" xfId="0" applyNumberFormat="1" applyFont="1" applyFill="1" applyBorder="1" applyAlignment="1">
      <alignment horizontal="center" vertical="center" wrapText="1"/>
    </xf>
    <xf numFmtId="0" fontId="12" fillId="3" borderId="4" xfId="0" applyNumberFormat="1" applyFont="1" applyFill="1" applyBorder="1" applyAlignment="1">
      <alignment horizontal="center" vertical="center" wrapText="1"/>
    </xf>
    <xf numFmtId="0" fontId="12" fillId="3" borderId="2" xfId="0" applyNumberFormat="1" applyFont="1" applyFill="1" applyBorder="1" applyAlignment="1">
      <alignment horizontal="center" vertical="center" wrapText="1"/>
    </xf>
    <xf numFmtId="0" fontId="12" fillId="4" borderId="2" xfId="0" applyNumberFormat="1" applyFont="1" applyFill="1" applyBorder="1" applyAlignment="1">
      <alignment horizontal="center" vertical="center" wrapText="1"/>
    </xf>
    <xf numFmtId="0" fontId="12" fillId="4" borderId="3" xfId="0" applyNumberFormat="1" applyFont="1" applyFill="1" applyBorder="1" applyAlignment="1">
      <alignment horizontal="center" vertical="center" wrapText="1"/>
    </xf>
    <xf numFmtId="0" fontId="12" fillId="4" borderId="4" xfId="0" applyNumberFormat="1" applyFont="1" applyFill="1" applyBorder="1" applyAlignment="1">
      <alignment horizontal="center" vertical="center" wrapText="1"/>
    </xf>
    <xf numFmtId="0" fontId="12" fillId="5" borderId="2" xfId="0" applyNumberFormat="1" applyFont="1" applyFill="1" applyBorder="1" applyAlignment="1">
      <alignment horizontal="center" vertical="center" wrapText="1"/>
    </xf>
    <xf numFmtId="0" fontId="12" fillId="5" borderId="3" xfId="0" applyNumberFormat="1" applyFont="1" applyFill="1" applyBorder="1" applyAlignment="1">
      <alignment horizontal="center" vertical="center" wrapText="1"/>
    </xf>
    <xf numFmtId="0" fontId="12" fillId="5" borderId="4" xfId="0" applyNumberFormat="1" applyFont="1" applyFill="1" applyBorder="1" applyAlignment="1">
      <alignment horizontal="center" vertical="center" wrapText="1"/>
    </xf>
    <xf numFmtId="37" fontId="12" fillId="0" borderId="4" xfId="0" applyNumberFormat="1" applyFont="1" applyFill="1" applyBorder="1" applyAlignment="1">
      <alignment horizontal="center" vertical="center" wrapText="1"/>
    </xf>
    <xf numFmtId="37" fontId="12" fillId="0" borderId="5" xfId="0" applyNumberFormat="1" applyFont="1" applyFill="1" applyBorder="1" applyAlignment="1">
      <alignment horizontal="center" vertical="center" wrapText="1"/>
    </xf>
    <xf numFmtId="0" fontId="14" fillId="0" borderId="0" xfId="0" applyNumberFormat="1" applyFont="1" applyFill="1" applyBorder="1" applyAlignment="1">
      <alignment horizontal="center" vertical="center" wrapText="1"/>
    </xf>
    <xf numFmtId="0" fontId="15" fillId="0" borderId="6" xfId="0" applyNumberFormat="1" applyFont="1" applyFill="1" applyBorder="1" applyAlignment="1">
      <alignment wrapText="1"/>
    </xf>
    <xf numFmtId="0" fontId="15" fillId="0" borderId="0" xfId="0" applyNumberFormat="1" applyFont="1" applyFill="1" applyBorder="1" applyAlignment="1">
      <alignment horizontal="center"/>
    </xf>
    <xf numFmtId="0" fontId="15" fillId="0" borderId="7" xfId="0" applyNumberFormat="1" applyFont="1" applyFill="1" applyBorder="1" applyAlignment="1">
      <alignment horizontal="center"/>
    </xf>
    <xf numFmtId="0" fontId="15" fillId="0" borderId="6" xfId="0" applyNumberFormat="1" applyFont="1" applyFill="1" applyBorder="1" applyAlignment="1">
      <alignment horizontal="left"/>
    </xf>
    <xf numFmtId="164" fontId="15" fillId="0" borderId="0" xfId="1" applyNumberFormat="1" applyFont="1" applyFill="1" applyBorder="1" applyAlignment="1">
      <alignment horizontal="left"/>
    </xf>
    <xf numFmtId="49" fontId="15" fillId="0" borderId="0" xfId="0" applyNumberFormat="1" applyFont="1" applyFill="1" applyBorder="1" applyAlignment="1">
      <alignment horizontal="center"/>
    </xf>
    <xf numFmtId="0" fontId="15" fillId="0" borderId="0" xfId="0" applyNumberFormat="1" applyFont="1" applyFill="1" applyBorder="1" applyAlignment="1">
      <alignment horizontal="left"/>
    </xf>
    <xf numFmtId="0" fontId="15" fillId="0" borderId="6" xfId="0" applyNumberFormat="1" applyFont="1" applyFill="1" applyBorder="1" applyAlignment="1">
      <alignment horizontal="center"/>
    </xf>
    <xf numFmtId="164" fontId="15" fillId="3" borderId="8" xfId="1" applyNumberFormat="1" applyFont="1" applyFill="1" applyBorder="1" applyAlignment="1">
      <alignment horizontal="center"/>
    </xf>
    <xf numFmtId="164" fontId="15" fillId="3" borderId="9" xfId="1" applyNumberFormat="1" applyFont="1" applyFill="1" applyBorder="1" applyAlignment="1">
      <alignment horizontal="center"/>
    </xf>
    <xf numFmtId="164" fontId="15" fillId="3" borderId="10" xfId="1" applyNumberFormat="1" applyFont="1" applyFill="1" applyBorder="1" applyAlignment="1">
      <alignment horizontal="center"/>
    </xf>
    <xf numFmtId="164" fontId="15" fillId="3" borderId="0" xfId="1" applyNumberFormat="1" applyFont="1" applyFill="1" applyBorder="1" applyAlignment="1">
      <alignment horizontal="center"/>
    </xf>
    <xf numFmtId="164" fontId="15" fillId="4" borderId="8" xfId="1" applyNumberFormat="1" applyFont="1" applyFill="1" applyBorder="1" applyAlignment="1">
      <alignment horizontal="center"/>
    </xf>
    <xf numFmtId="164" fontId="15" fillId="4" borderId="9" xfId="1" applyNumberFormat="1" applyFont="1" applyFill="1" applyBorder="1" applyAlignment="1">
      <alignment horizontal="center"/>
    </xf>
    <xf numFmtId="164" fontId="15" fillId="4" borderId="10" xfId="1" applyNumberFormat="1" applyFont="1" applyFill="1" applyBorder="1" applyAlignment="1">
      <alignment horizontal="center"/>
    </xf>
    <xf numFmtId="164" fontId="15" fillId="4" borderId="0" xfId="1" applyNumberFormat="1" applyFont="1" applyFill="1" applyBorder="1" applyAlignment="1">
      <alignment horizontal="center"/>
    </xf>
    <xf numFmtId="164" fontId="15" fillId="0" borderId="0" xfId="1" applyNumberFormat="1" applyFont="1" applyFill="1" applyBorder="1" applyAlignment="1">
      <alignment horizontal="center"/>
    </xf>
    <xf numFmtId="164" fontId="15" fillId="0" borderId="8" xfId="1" applyNumberFormat="1" applyFont="1" applyFill="1" applyBorder="1" applyAlignment="1">
      <alignment horizontal="center"/>
    </xf>
    <xf numFmtId="164" fontId="15" fillId="0" borderId="9" xfId="1" applyNumberFormat="1" applyFont="1" applyFill="1" applyBorder="1" applyAlignment="1">
      <alignment horizontal="center"/>
    </xf>
    <xf numFmtId="164" fontId="15" fillId="0" borderId="10" xfId="1" applyNumberFormat="1" applyFont="1" applyFill="1" applyBorder="1" applyAlignment="1">
      <alignment horizontal="center"/>
    </xf>
    <xf numFmtId="164" fontId="15" fillId="5" borderId="0" xfId="1" applyNumberFormat="1" applyFont="1" applyFill="1" applyBorder="1" applyAlignment="1">
      <alignment horizontal="center"/>
    </xf>
    <xf numFmtId="164" fontId="16" fillId="0" borderId="0" xfId="1" applyNumberFormat="1" applyFont="1" applyFill="1" applyBorder="1" applyAlignment="1"/>
    <xf numFmtId="164" fontId="16" fillId="0" borderId="6" xfId="1" applyNumberFormat="1" applyFont="1" applyFill="1" applyBorder="1" applyAlignment="1"/>
    <xf numFmtId="0" fontId="15" fillId="0" borderId="0" xfId="0" applyNumberFormat="1" applyFont="1" applyFill="1" applyBorder="1"/>
    <xf numFmtId="0" fontId="15" fillId="0" borderId="11" xfId="0" applyNumberFormat="1" applyFont="1" applyFill="1" applyBorder="1" applyAlignment="1">
      <alignment wrapText="1"/>
    </xf>
    <xf numFmtId="0" fontId="15" fillId="0" borderId="11" xfId="0" applyNumberFormat="1" applyFont="1" applyFill="1" applyBorder="1" applyAlignment="1">
      <alignment horizontal="left"/>
    </xf>
    <xf numFmtId="0" fontId="15" fillId="0" borderId="11" xfId="0" applyNumberFormat="1" applyFont="1" applyFill="1" applyBorder="1" applyAlignment="1">
      <alignment horizontal="center"/>
    </xf>
    <xf numFmtId="164" fontId="15" fillId="0" borderId="7" xfId="1" applyNumberFormat="1" applyFont="1" applyFill="1" applyBorder="1" applyAlignment="1">
      <alignment horizontal="center"/>
    </xf>
    <xf numFmtId="164" fontId="15" fillId="0" borderId="12" xfId="1" applyNumberFormat="1" applyFont="1" applyFill="1" applyBorder="1" applyAlignment="1">
      <alignment horizontal="center"/>
    </xf>
    <xf numFmtId="164" fontId="16" fillId="0" borderId="11" xfId="1" applyNumberFormat="1" applyFont="1" applyFill="1" applyBorder="1" applyAlignment="1"/>
    <xf numFmtId="0" fontId="15" fillId="0" borderId="0" xfId="0" applyNumberFormat="1" applyFont="1" applyFill="1"/>
    <xf numFmtId="0" fontId="15" fillId="0" borderId="12" xfId="0" applyNumberFormat="1" applyFont="1" applyFill="1" applyBorder="1" applyAlignment="1">
      <alignment horizontal="center"/>
    </xf>
    <xf numFmtId="3" fontId="15" fillId="0" borderId="0" xfId="0" applyNumberFormat="1" applyFont="1" applyFill="1" applyBorder="1"/>
    <xf numFmtId="0" fontId="15" fillId="0" borderId="0" xfId="0" applyNumberFormat="1" applyFont="1" applyFill="1" applyBorder="1" applyAlignment="1">
      <alignment horizontal="center" wrapText="1"/>
    </xf>
    <xf numFmtId="0" fontId="18" fillId="0" borderId="0" xfId="2" applyFont="1" applyBorder="1" applyAlignment="1" applyProtection="1"/>
    <xf numFmtId="164" fontId="15" fillId="3" borderId="7" xfId="1" applyNumberFormat="1" applyFont="1" applyFill="1" applyBorder="1" applyAlignment="1">
      <alignment horizontal="center"/>
    </xf>
    <xf numFmtId="164" fontId="15" fillId="3" borderId="12" xfId="1" applyNumberFormat="1" applyFont="1" applyFill="1" applyBorder="1" applyAlignment="1">
      <alignment horizontal="center"/>
    </xf>
    <xf numFmtId="164" fontId="15" fillId="4" borderId="7" xfId="1" applyNumberFormat="1" applyFont="1" applyFill="1" applyBorder="1" applyAlignment="1">
      <alignment horizontal="center"/>
    </xf>
    <xf numFmtId="164" fontId="15" fillId="4" borderId="12" xfId="1" applyNumberFormat="1" applyFont="1" applyFill="1" applyBorder="1" applyAlignment="1">
      <alignment horizontal="center"/>
    </xf>
    <xf numFmtId="0" fontId="18" fillId="0" borderId="0" xfId="2" applyFont="1" applyAlignment="1" applyProtection="1"/>
    <xf numFmtId="0" fontId="19" fillId="0" borderId="0" xfId="0" applyNumberFormat="1" applyFont="1" applyFill="1" applyBorder="1"/>
    <xf numFmtId="0" fontId="20" fillId="0" borderId="0" xfId="0" applyNumberFormat="1" applyFont="1" applyFill="1" applyBorder="1"/>
    <xf numFmtId="0" fontId="19" fillId="0" borderId="0" xfId="0" applyNumberFormat="1" applyFont="1" applyFill="1" applyBorder="1" applyAlignment="1">
      <alignment horizontal="center"/>
    </xf>
    <xf numFmtId="0" fontId="19" fillId="0" borderId="7" xfId="0" applyNumberFormat="1" applyFont="1" applyFill="1" applyBorder="1" applyAlignment="1">
      <alignment horizontal="center"/>
    </xf>
    <xf numFmtId="0" fontId="19" fillId="0" borderId="11" xfId="0" applyNumberFormat="1" applyFont="1" applyFill="1" applyBorder="1" applyAlignment="1">
      <alignment horizontal="left"/>
    </xf>
    <xf numFmtId="164" fontId="19" fillId="0" borderId="0" xfId="1" applyNumberFormat="1" applyFont="1" applyFill="1" applyBorder="1" applyAlignment="1">
      <alignment horizontal="left"/>
    </xf>
    <xf numFmtId="49" fontId="19" fillId="0" borderId="0" xfId="0" applyNumberFormat="1" applyFont="1" applyFill="1" applyBorder="1" applyAlignment="1">
      <alignment horizontal="center"/>
    </xf>
    <xf numFmtId="0" fontId="19" fillId="0" borderId="0" xfId="0" applyNumberFormat="1" applyFont="1" applyFill="1" applyBorder="1" applyAlignment="1">
      <alignment horizontal="left"/>
    </xf>
    <xf numFmtId="0" fontId="19" fillId="0" borderId="11" xfId="0" applyNumberFormat="1" applyFont="1" applyFill="1" applyBorder="1" applyAlignment="1">
      <alignment horizontal="center"/>
    </xf>
    <xf numFmtId="164" fontId="19" fillId="0" borderId="7" xfId="1" applyNumberFormat="1" applyFont="1" applyFill="1" applyBorder="1" applyAlignment="1">
      <alignment horizontal="center"/>
    </xf>
    <xf numFmtId="164" fontId="19" fillId="0" borderId="0" xfId="1" applyNumberFormat="1" applyFont="1" applyFill="1" applyBorder="1" applyAlignment="1">
      <alignment horizontal="center"/>
    </xf>
    <xf numFmtId="164" fontId="19" fillId="0" borderId="12" xfId="1" applyNumberFormat="1" applyFont="1" applyFill="1" applyBorder="1" applyAlignment="1">
      <alignment horizontal="center"/>
    </xf>
    <xf numFmtId="164" fontId="19" fillId="5" borderId="0" xfId="1" applyNumberFormat="1" applyFont="1" applyFill="1" applyBorder="1" applyAlignment="1">
      <alignment horizontal="center"/>
    </xf>
    <xf numFmtId="164" fontId="21" fillId="0" borderId="0" xfId="1" applyNumberFormat="1" applyFont="1" applyFill="1" applyBorder="1" applyAlignment="1"/>
    <xf numFmtId="164" fontId="21" fillId="0" borderId="11" xfId="1" applyNumberFormat="1" applyFont="1" applyFill="1" applyBorder="1" applyAlignment="1"/>
    <xf numFmtId="0" fontId="19" fillId="0" borderId="11" xfId="0" applyNumberFormat="1" applyFont="1" applyFill="1" applyBorder="1" applyAlignment="1">
      <alignment wrapText="1"/>
    </xf>
    <xf numFmtId="164" fontId="19" fillId="3" borderId="7" xfId="1" applyNumberFormat="1" applyFont="1" applyFill="1" applyBorder="1" applyAlignment="1">
      <alignment horizontal="center"/>
    </xf>
    <xf numFmtId="164" fontId="19" fillId="3" borderId="0" xfId="1" applyNumberFormat="1" applyFont="1" applyFill="1" applyBorder="1" applyAlignment="1">
      <alignment horizontal="center"/>
    </xf>
    <xf numFmtId="164" fontId="19" fillId="3" borderId="12" xfId="1" applyNumberFormat="1" applyFont="1" applyFill="1" applyBorder="1" applyAlignment="1">
      <alignment horizontal="center"/>
    </xf>
    <xf numFmtId="164" fontId="19" fillId="4" borderId="7" xfId="1" applyNumberFormat="1" applyFont="1" applyFill="1" applyBorder="1" applyAlignment="1">
      <alignment horizontal="center"/>
    </xf>
    <xf numFmtId="164" fontId="19" fillId="4" borderId="0" xfId="1" applyNumberFormat="1" applyFont="1" applyFill="1" applyBorder="1" applyAlignment="1">
      <alignment horizontal="center"/>
    </xf>
    <xf numFmtId="164" fontId="19" fillId="4" borderId="12" xfId="1" applyNumberFormat="1" applyFont="1" applyFill="1" applyBorder="1" applyAlignment="1">
      <alignment horizontal="center"/>
    </xf>
    <xf numFmtId="164" fontId="22" fillId="4" borderId="0" xfId="1" applyNumberFormat="1" applyFont="1" applyFill="1" applyBorder="1" applyAlignment="1">
      <alignment horizontal="center"/>
    </xf>
    <xf numFmtId="164" fontId="22" fillId="4" borderId="12" xfId="1" applyNumberFormat="1" applyFont="1" applyFill="1" applyBorder="1" applyAlignment="1">
      <alignment horizontal="center"/>
    </xf>
    <xf numFmtId="0" fontId="23" fillId="0" borderId="0" xfId="0" applyNumberFormat="1" applyFont="1" applyFill="1" applyBorder="1"/>
    <xf numFmtId="0" fontId="19" fillId="0" borderId="12" xfId="0" applyNumberFormat="1" applyFont="1" applyFill="1" applyBorder="1" applyAlignment="1">
      <alignment horizontal="center"/>
    </xf>
    <xf numFmtId="0" fontId="19" fillId="0" borderId="0" xfId="0" applyNumberFormat="1" applyFont="1" applyFill="1" applyBorder="1" applyAlignment="1">
      <alignment horizontal="center" wrapText="1"/>
    </xf>
    <xf numFmtId="37" fontId="15" fillId="0" borderId="0" xfId="0" applyNumberFormat="1" applyFont="1" applyFill="1" applyBorder="1"/>
    <xf numFmtId="0" fontId="25" fillId="0" borderId="0" xfId="0" applyNumberFormat="1" applyFont="1" applyFill="1" applyBorder="1"/>
    <xf numFmtId="0" fontId="15" fillId="0" borderId="0" xfId="0" applyNumberFormat="1" applyFont="1" applyFill="1" applyBorder="1" applyAlignment="1">
      <alignment wrapText="1"/>
    </xf>
    <xf numFmtId="0" fontId="18" fillId="0" borderId="0" xfId="2" applyFont="1" applyFill="1" applyAlignment="1" applyProtection="1"/>
    <xf numFmtId="0" fontId="19" fillId="0" borderId="0" xfId="0" applyNumberFormat="1" applyFont="1" applyFill="1"/>
    <xf numFmtId="3" fontId="15" fillId="0" borderId="0" xfId="0" applyNumberFormat="1" applyFont="1" applyFill="1" applyBorder="1" applyAlignment="1">
      <alignment horizontal="center"/>
    </xf>
    <xf numFmtId="0" fontId="15" fillId="0" borderId="11" xfId="0" applyNumberFormat="1" applyFont="1" applyFill="1" applyBorder="1" applyAlignment="1">
      <alignment horizontal="center" wrapText="1"/>
    </xf>
    <xf numFmtId="0" fontId="15" fillId="0" borderId="13" xfId="0" applyNumberFormat="1" applyFont="1" applyFill="1" applyBorder="1" applyAlignment="1">
      <alignment wrapText="1"/>
    </xf>
    <xf numFmtId="0" fontId="15" fillId="0" borderId="1" xfId="0" applyNumberFormat="1" applyFont="1" applyFill="1" applyBorder="1" applyAlignment="1">
      <alignment horizontal="center"/>
    </xf>
    <xf numFmtId="0" fontId="15" fillId="0" borderId="14" xfId="0" applyNumberFormat="1" applyFont="1" applyFill="1" applyBorder="1" applyAlignment="1">
      <alignment horizontal="center"/>
    </xf>
    <xf numFmtId="0" fontId="15" fillId="0" borderId="13" xfId="0" applyNumberFormat="1" applyFont="1" applyFill="1" applyBorder="1" applyAlignment="1">
      <alignment horizontal="left"/>
    </xf>
    <xf numFmtId="164" fontId="15" fillId="0" borderId="1" xfId="1" applyNumberFormat="1" applyFont="1" applyFill="1" applyBorder="1" applyAlignment="1">
      <alignment horizontal="left"/>
    </xf>
    <xf numFmtId="49" fontId="15" fillId="0" borderId="1" xfId="0" applyNumberFormat="1" applyFont="1" applyFill="1" applyBorder="1" applyAlignment="1">
      <alignment horizontal="center"/>
    </xf>
    <xf numFmtId="0" fontId="15" fillId="0" borderId="13" xfId="0" applyNumberFormat="1" applyFont="1" applyFill="1" applyBorder="1" applyAlignment="1">
      <alignment horizontal="center"/>
    </xf>
    <xf numFmtId="164" fontId="15" fillId="3" borderId="14" xfId="1" applyNumberFormat="1" applyFont="1" applyFill="1" applyBorder="1" applyAlignment="1">
      <alignment horizontal="center"/>
    </xf>
    <xf numFmtId="164" fontId="15" fillId="3" borderId="1" xfId="1" applyNumberFormat="1" applyFont="1" applyFill="1" applyBorder="1" applyAlignment="1">
      <alignment horizontal="center"/>
    </xf>
    <xf numFmtId="164" fontId="15" fillId="3" borderId="15" xfId="1" applyNumberFormat="1" applyFont="1" applyFill="1" applyBorder="1" applyAlignment="1">
      <alignment horizontal="center"/>
    </xf>
    <xf numFmtId="164" fontId="15" fillId="4" borderId="14" xfId="1" applyNumberFormat="1" applyFont="1" applyFill="1" applyBorder="1" applyAlignment="1">
      <alignment horizontal="center"/>
    </xf>
    <xf numFmtId="164" fontId="15" fillId="4" borderId="1" xfId="1" applyNumberFormat="1" applyFont="1" applyFill="1" applyBorder="1" applyAlignment="1">
      <alignment horizontal="center"/>
    </xf>
    <xf numFmtId="164" fontId="15" fillId="4" borderId="15" xfId="1" applyNumberFormat="1" applyFont="1" applyFill="1" applyBorder="1" applyAlignment="1">
      <alignment horizontal="center"/>
    </xf>
    <xf numFmtId="164" fontId="15" fillId="0" borderId="14" xfId="1" applyNumberFormat="1" applyFont="1" applyFill="1" applyBorder="1" applyAlignment="1">
      <alignment horizontal="center"/>
    </xf>
    <xf numFmtId="164" fontId="15" fillId="0" borderId="1" xfId="1" applyNumberFormat="1" applyFont="1" applyFill="1" applyBorder="1" applyAlignment="1">
      <alignment horizontal="center"/>
    </xf>
    <xf numFmtId="164" fontId="15" fillId="0" borderId="15" xfId="1" applyNumberFormat="1" applyFont="1" applyFill="1" applyBorder="1" applyAlignment="1">
      <alignment horizontal="center"/>
    </xf>
    <xf numFmtId="164" fontId="15" fillId="5" borderId="1" xfId="1" applyNumberFormat="1" applyFont="1" applyFill="1" applyBorder="1" applyAlignment="1">
      <alignment horizontal="center"/>
    </xf>
    <xf numFmtId="164" fontId="16" fillId="0" borderId="1" xfId="1" applyNumberFormat="1" applyFont="1" applyFill="1" applyBorder="1" applyAlignment="1"/>
    <xf numFmtId="0" fontId="16" fillId="0" borderId="2" xfId="0" applyNumberFormat="1" applyFont="1" applyFill="1" applyBorder="1" applyAlignment="1">
      <alignment wrapText="1"/>
    </xf>
    <xf numFmtId="0" fontId="16" fillId="0" borderId="3" xfId="0" applyNumberFormat="1" applyFont="1" applyFill="1" applyBorder="1" applyAlignment="1">
      <alignment horizontal="center"/>
    </xf>
    <xf numFmtId="0" fontId="16" fillId="0" borderId="2" xfId="0" applyNumberFormat="1" applyFont="1" applyFill="1" applyBorder="1" applyAlignment="1">
      <alignment horizontal="left"/>
    </xf>
    <xf numFmtId="164" fontId="16" fillId="0" borderId="3" xfId="1" applyNumberFormat="1" applyFont="1" applyFill="1" applyBorder="1" applyAlignment="1">
      <alignment horizontal="left"/>
    </xf>
    <xf numFmtId="0" fontId="15" fillId="0" borderId="3" xfId="0" applyNumberFormat="1" applyFont="1" applyFill="1" applyBorder="1" applyAlignment="1">
      <alignment horizontal="center"/>
    </xf>
    <xf numFmtId="0" fontId="16" fillId="0" borderId="4" xfId="0" applyNumberFormat="1" applyFont="1" applyFill="1" applyBorder="1" applyAlignment="1">
      <alignment horizontal="left"/>
    </xf>
    <xf numFmtId="0" fontId="16" fillId="0" borderId="4" xfId="0" applyNumberFormat="1" applyFont="1" applyFill="1" applyBorder="1" applyAlignment="1">
      <alignment horizontal="center"/>
    </xf>
    <xf numFmtId="0" fontId="16" fillId="3" borderId="3" xfId="0" applyNumberFormat="1" applyFont="1" applyFill="1" applyBorder="1" applyAlignment="1">
      <alignment horizontal="center"/>
    </xf>
    <xf numFmtId="0" fontId="16" fillId="3" borderId="2" xfId="0" applyNumberFormat="1" applyFont="1" applyFill="1" applyBorder="1" applyAlignment="1">
      <alignment horizontal="center"/>
    </xf>
    <xf numFmtId="0" fontId="16" fillId="3" borderId="4" xfId="0" applyNumberFormat="1" applyFont="1" applyFill="1" applyBorder="1" applyAlignment="1">
      <alignment horizontal="center"/>
    </xf>
    <xf numFmtId="0" fontId="16" fillId="4" borderId="2" xfId="0" applyNumberFormat="1" applyFont="1" applyFill="1" applyBorder="1" applyAlignment="1">
      <alignment horizontal="center"/>
    </xf>
    <xf numFmtId="0" fontId="16" fillId="4" borderId="3" xfId="0" applyNumberFormat="1" applyFont="1" applyFill="1" applyBorder="1" applyAlignment="1">
      <alignment horizontal="center"/>
    </xf>
    <xf numFmtId="0" fontId="16" fillId="4" borderId="4" xfId="0" applyNumberFormat="1" applyFont="1" applyFill="1" applyBorder="1" applyAlignment="1">
      <alignment horizontal="center"/>
    </xf>
    <xf numFmtId="164" fontId="16" fillId="0" borderId="3" xfId="0" applyNumberFormat="1" applyFont="1" applyFill="1" applyBorder="1" applyAlignment="1">
      <alignment horizontal="center"/>
    </xf>
    <xf numFmtId="164" fontId="16" fillId="0" borderId="2" xfId="0" applyNumberFormat="1" applyFont="1" applyFill="1" applyBorder="1" applyAlignment="1">
      <alignment horizontal="center"/>
    </xf>
    <xf numFmtId="164" fontId="16" fillId="0" borderId="4" xfId="0" applyNumberFormat="1" applyFont="1" applyFill="1" applyBorder="1" applyAlignment="1">
      <alignment horizontal="center"/>
    </xf>
    <xf numFmtId="164" fontId="16" fillId="5" borderId="2" xfId="0" applyNumberFormat="1" applyFont="1" applyFill="1" applyBorder="1" applyAlignment="1">
      <alignment horizontal="center"/>
    </xf>
    <xf numFmtId="164" fontId="16" fillId="5" borderId="3" xfId="0" applyNumberFormat="1" applyFont="1" applyFill="1" applyBorder="1" applyAlignment="1">
      <alignment horizontal="center"/>
    </xf>
    <xf numFmtId="164" fontId="16" fillId="5" borderId="4" xfId="0" applyNumberFormat="1" applyFont="1" applyFill="1" applyBorder="1" applyAlignment="1">
      <alignment horizontal="center"/>
    </xf>
    <xf numFmtId="37" fontId="16" fillId="0" borderId="2" xfId="0" applyNumberFormat="1" applyFont="1" applyFill="1" applyBorder="1"/>
    <xf numFmtId="37" fontId="16" fillId="0" borderId="4" xfId="0" applyNumberFormat="1" applyFont="1" applyFill="1" applyBorder="1"/>
    <xf numFmtId="0" fontId="16" fillId="0" borderId="3" xfId="0" applyNumberFormat="1" applyFont="1" applyFill="1" applyBorder="1"/>
    <xf numFmtId="0" fontId="16" fillId="2" borderId="0" xfId="0" applyNumberFormat="1" applyFont="1" applyFill="1" applyBorder="1" applyAlignment="1">
      <alignment wrapText="1"/>
    </xf>
    <xf numFmtId="0" fontId="16" fillId="2" borderId="0" xfId="0" applyNumberFormat="1" applyFont="1" applyFill="1" applyBorder="1" applyAlignment="1">
      <alignment horizontal="center"/>
    </xf>
    <xf numFmtId="0" fontId="16" fillId="2" borderId="0" xfId="0" applyNumberFormat="1" applyFont="1" applyFill="1" applyBorder="1" applyAlignment="1">
      <alignment horizontal="left"/>
    </xf>
    <xf numFmtId="164" fontId="16" fillId="2" borderId="0" xfId="1" applyNumberFormat="1" applyFont="1" applyFill="1" applyBorder="1" applyAlignment="1">
      <alignment horizontal="left"/>
    </xf>
    <xf numFmtId="0" fontId="15" fillId="2" borderId="0" xfId="0" applyNumberFormat="1" applyFont="1" applyFill="1" applyBorder="1" applyAlignment="1">
      <alignment horizontal="center"/>
    </xf>
    <xf numFmtId="37" fontId="16" fillId="2" borderId="0" xfId="0" applyNumberFormat="1" applyFont="1" applyFill="1" applyBorder="1"/>
    <xf numFmtId="0" fontId="16" fillId="2" borderId="0" xfId="0" applyNumberFormat="1" applyFont="1" applyFill="1" applyBorder="1"/>
    <xf numFmtId="0" fontId="26" fillId="2" borderId="0" xfId="0" applyNumberFormat="1" applyFont="1" applyFill="1" applyBorder="1" applyAlignment="1">
      <alignment horizontal="left"/>
    </xf>
    <xf numFmtId="0" fontId="2" fillId="2" borderId="0" xfId="0" applyNumberFormat="1" applyFont="1" applyFill="1" applyBorder="1" applyAlignment="1">
      <alignment horizontal="left"/>
    </xf>
    <xf numFmtId="0" fontId="2" fillId="2" borderId="0" xfId="0" applyNumberFormat="1" applyFont="1" applyFill="1" applyBorder="1" applyAlignment="1">
      <alignment horizontal="center"/>
    </xf>
    <xf numFmtId="164" fontId="2" fillId="2" borderId="0" xfId="1" applyNumberFormat="1" applyFont="1" applyFill="1" applyBorder="1" applyAlignment="1">
      <alignment horizontal="left"/>
    </xf>
    <xf numFmtId="0" fontId="27" fillId="2" borderId="0" xfId="0" applyNumberFormat="1" applyFont="1" applyFill="1" applyAlignment="1"/>
    <xf numFmtId="0" fontId="29" fillId="2" borderId="0" xfId="0" applyNumberFormat="1" applyFont="1" applyFill="1" applyBorder="1" applyAlignment="1">
      <alignment horizontal="center"/>
    </xf>
    <xf numFmtId="0" fontId="30" fillId="2" borderId="0" xfId="0" applyNumberFormat="1" applyFont="1" applyFill="1" applyBorder="1" applyAlignment="1">
      <alignment horizontal="center"/>
    </xf>
    <xf numFmtId="0" fontId="30" fillId="2" borderId="0" xfId="0" applyNumberFormat="1" applyFont="1" applyFill="1" applyBorder="1" applyAlignment="1">
      <alignment horizontal="left"/>
    </xf>
    <xf numFmtId="164" fontId="30" fillId="2" borderId="0" xfId="1" applyNumberFormat="1" applyFont="1" applyFill="1" applyBorder="1" applyAlignment="1">
      <alignment horizontal="left"/>
    </xf>
    <xf numFmtId="0" fontId="29" fillId="2" borderId="0" xfId="0" applyNumberFormat="1" applyFont="1" applyFill="1" applyBorder="1" applyAlignment="1">
      <alignment horizontal="left"/>
    </xf>
    <xf numFmtId="3" fontId="31" fillId="2" borderId="0" xfId="0" applyNumberFormat="1" applyFont="1" applyFill="1" applyBorder="1"/>
    <xf numFmtId="0" fontId="29" fillId="2" borderId="0" xfId="0" applyNumberFormat="1" applyFont="1" applyFill="1" applyBorder="1"/>
    <xf numFmtId="0" fontId="29" fillId="2" borderId="0" xfId="0" applyNumberFormat="1" applyFont="1" applyFill="1"/>
    <xf numFmtId="0" fontId="32" fillId="2" borderId="0" xfId="0" applyNumberFormat="1" applyFont="1" applyFill="1"/>
    <xf numFmtId="0" fontId="32" fillId="2" borderId="0" xfId="0" applyNumberFormat="1" applyFont="1" applyFill="1" applyAlignment="1">
      <alignment horizontal="center"/>
    </xf>
    <xf numFmtId="164" fontId="32" fillId="2" borderId="0" xfId="1" applyNumberFormat="1" applyFont="1" applyFill="1"/>
    <xf numFmtId="0" fontId="33" fillId="2" borderId="0" xfId="0" applyNumberFormat="1" applyFont="1" applyFill="1" applyAlignment="1"/>
    <xf numFmtId="0" fontId="35" fillId="2" borderId="0" xfId="0" applyNumberFormat="1" applyFont="1" applyFill="1"/>
    <xf numFmtId="0" fontId="35" fillId="2" borderId="0" xfId="0" applyNumberFormat="1" applyFont="1" applyFill="1" applyAlignment="1">
      <alignment horizontal="center"/>
    </xf>
    <xf numFmtId="0" fontId="36" fillId="2" borderId="0" xfId="0" applyNumberFormat="1" applyFont="1" applyFill="1" applyAlignment="1">
      <alignment horizontal="center"/>
    </xf>
    <xf numFmtId="0" fontId="36" fillId="2" borderId="0" xfId="0" applyNumberFormat="1" applyFont="1" applyFill="1" applyAlignment="1">
      <alignment horizontal="left"/>
    </xf>
    <xf numFmtId="164" fontId="36" fillId="2" borderId="0" xfId="1" applyNumberFormat="1" applyFont="1" applyFill="1" applyAlignment="1">
      <alignment horizontal="left"/>
    </xf>
    <xf numFmtId="0" fontId="37" fillId="2" borderId="0" xfId="0" applyNumberFormat="1" applyFont="1" applyFill="1" applyAlignment="1">
      <alignment horizontal="center"/>
    </xf>
    <xf numFmtId="37" fontId="37" fillId="2" borderId="0" xfId="0" applyNumberFormat="1" applyFont="1" applyFill="1"/>
    <xf numFmtId="37" fontId="37" fillId="2" borderId="0" xfId="0" applyNumberFormat="1" applyFont="1" applyFill="1" applyAlignment="1">
      <alignment horizontal="left"/>
    </xf>
    <xf numFmtId="3" fontId="38" fillId="2" borderId="0" xfId="0" applyNumberFormat="1" applyFont="1" applyFill="1" applyBorder="1"/>
    <xf numFmtId="0" fontId="35" fillId="2" borderId="0" xfId="0" applyNumberFormat="1" applyFont="1" applyFill="1" applyBorder="1"/>
    <xf numFmtId="0" fontId="35" fillId="2" borderId="0" xfId="0" applyNumberFormat="1" applyFont="1" applyFill="1" applyBorder="1" applyAlignment="1">
      <alignment horizontal="center"/>
    </xf>
    <xf numFmtId="0" fontId="39" fillId="2" borderId="0" xfId="0" applyNumberFormat="1" applyFont="1" applyFill="1"/>
    <xf numFmtId="0" fontId="39" fillId="2" borderId="0" xfId="0" applyNumberFormat="1" applyFont="1" applyFill="1" applyAlignment="1">
      <alignment horizontal="center"/>
    </xf>
    <xf numFmtId="0" fontId="40" fillId="2" borderId="0" xfId="0" applyNumberFormat="1" applyFont="1" applyFill="1" applyAlignment="1">
      <alignment horizontal="center"/>
    </xf>
    <xf numFmtId="0" fontId="40" fillId="2" borderId="0" xfId="0" applyNumberFormat="1" applyFont="1" applyFill="1" applyAlignment="1">
      <alignment horizontal="left"/>
    </xf>
    <xf numFmtId="164" fontId="40" fillId="2" borderId="0" xfId="1" applyNumberFormat="1" applyFont="1" applyFill="1" applyAlignment="1">
      <alignment horizontal="left"/>
    </xf>
    <xf numFmtId="0" fontId="41" fillId="2" borderId="0" xfId="0" applyNumberFormat="1" applyFont="1" applyFill="1" applyAlignment="1">
      <alignment horizontal="center"/>
    </xf>
    <xf numFmtId="37" fontId="41" fillId="2" borderId="0" xfId="0" applyNumberFormat="1" applyFont="1" applyFill="1"/>
    <xf numFmtId="37" fontId="41" fillId="2" borderId="0" xfId="0" applyNumberFormat="1" applyFont="1" applyFill="1" applyAlignment="1">
      <alignment horizontal="left"/>
    </xf>
    <xf numFmtId="3" fontId="42" fillId="2" borderId="0" xfId="0" applyNumberFormat="1" applyFont="1" applyFill="1" applyBorder="1"/>
    <xf numFmtId="0" fontId="39" fillId="2" borderId="0" xfId="0" applyNumberFormat="1" applyFont="1" applyFill="1" applyBorder="1"/>
    <xf numFmtId="0" fontId="39" fillId="2" borderId="0" xfId="0" applyNumberFormat="1" applyFont="1" applyFill="1" applyBorder="1" applyAlignment="1">
      <alignment horizontal="center"/>
    </xf>
    <xf numFmtId="0" fontId="43" fillId="2" borderId="0" xfId="0" applyNumberFormat="1" applyFont="1" applyFill="1" applyAlignment="1"/>
    <xf numFmtId="0" fontId="44" fillId="2" borderId="0" xfId="0" applyNumberFormat="1" applyFont="1" applyFill="1" applyAlignment="1"/>
    <xf numFmtId="0" fontId="45" fillId="2" borderId="0" xfId="0" applyNumberFormat="1" applyFont="1" applyFill="1" applyAlignment="1"/>
    <xf numFmtId="0" fontId="46" fillId="2" borderId="0" xfId="0" applyNumberFormat="1" applyFont="1" applyFill="1" applyAlignment="1">
      <alignment horizontal="center"/>
    </xf>
    <xf numFmtId="0" fontId="46" fillId="2" borderId="0" xfId="0" applyNumberFormat="1" applyFont="1" applyFill="1" applyAlignment="1">
      <alignment horizontal="left"/>
    </xf>
    <xf numFmtId="164" fontId="46" fillId="2" borderId="0" xfId="1" applyNumberFormat="1" applyFont="1" applyFill="1" applyAlignment="1">
      <alignment horizontal="left"/>
    </xf>
    <xf numFmtId="0" fontId="32" fillId="2" borderId="0" xfId="0" applyNumberFormat="1" applyFont="1" applyFill="1" applyAlignment="1">
      <alignment horizontal="left"/>
    </xf>
    <xf numFmtId="3" fontId="47" fillId="2" borderId="0" xfId="0" applyNumberFormat="1" applyFont="1" applyFill="1" applyBorder="1"/>
    <xf numFmtId="0" fontId="32" fillId="2" borderId="0" xfId="0" applyNumberFormat="1" applyFont="1" applyFill="1" applyBorder="1"/>
    <xf numFmtId="0" fontId="32" fillId="2" borderId="0" xfId="0" applyNumberFormat="1" applyFont="1" applyFill="1" applyBorder="1" applyAlignment="1">
      <alignment horizontal="center"/>
    </xf>
    <xf numFmtId="0" fontId="48" fillId="2" borderId="0" xfId="0" applyNumberFormat="1" applyFont="1" applyFill="1"/>
    <xf numFmtId="0" fontId="48" fillId="2" borderId="0" xfId="0" applyNumberFormat="1" applyFont="1" applyFill="1" applyAlignment="1">
      <alignment horizontal="center"/>
    </xf>
    <xf numFmtId="0" fontId="49" fillId="2" borderId="0" xfId="0" applyNumberFormat="1" applyFont="1" applyFill="1" applyAlignment="1">
      <alignment horizontal="center"/>
    </xf>
    <xf numFmtId="0" fontId="49" fillId="2" borderId="0" xfId="0" applyNumberFormat="1" applyFont="1" applyFill="1" applyAlignment="1">
      <alignment horizontal="left"/>
    </xf>
    <xf numFmtId="164" fontId="49" fillId="2" borderId="0" xfId="1" applyNumberFormat="1" applyFont="1" applyFill="1" applyAlignment="1">
      <alignment horizontal="left"/>
    </xf>
    <xf numFmtId="0" fontId="48" fillId="2" borderId="0" xfId="0" applyNumberFormat="1" applyFont="1" applyFill="1" applyAlignment="1">
      <alignment horizontal="left"/>
    </xf>
    <xf numFmtId="3" fontId="50" fillId="2" borderId="0" xfId="0" applyNumberFormat="1" applyFont="1" applyFill="1" applyBorder="1"/>
    <xf numFmtId="0" fontId="48" fillId="2" borderId="0" xfId="0" applyNumberFormat="1" applyFont="1" applyFill="1" applyBorder="1"/>
    <xf numFmtId="0" fontId="48" fillId="2" borderId="0" xfId="0" applyNumberFormat="1" applyFont="1" applyFill="1" applyBorder="1" applyAlignment="1">
      <alignment horizontal="center"/>
    </xf>
    <xf numFmtId="0" fontId="19" fillId="2" borderId="0" xfId="0" applyNumberFormat="1" applyFont="1" applyFill="1"/>
    <xf numFmtId="0" fontId="48" fillId="0" borderId="0" xfId="0" applyNumberFormat="1" applyFont="1" applyFill="1" applyBorder="1"/>
    <xf numFmtId="0" fontId="48" fillId="0" borderId="0" xfId="0" applyNumberFormat="1" applyFont="1" applyFill="1" applyBorder="1" applyAlignment="1">
      <alignment horizontal="center"/>
    </xf>
    <xf numFmtId="3" fontId="50" fillId="0" borderId="0" xfId="0" applyNumberFormat="1" applyFont="1" applyFill="1" applyBorder="1"/>
    <xf numFmtId="0" fontId="48" fillId="0" borderId="0" xfId="0" applyNumberFormat="1" applyFont="1" applyFill="1"/>
    <xf numFmtId="0" fontId="48" fillId="0" borderId="0" xfId="0" applyNumberFormat="1" applyFont="1" applyFill="1" applyAlignment="1">
      <alignment horizontal="center"/>
    </xf>
    <xf numFmtId="0" fontId="48" fillId="3" borderId="0" xfId="0" applyNumberFormat="1" applyFont="1" applyFill="1"/>
    <xf numFmtId="0" fontId="48" fillId="4" borderId="0" xfId="0" applyNumberFormat="1" applyFont="1" applyFill="1"/>
    <xf numFmtId="164" fontId="49" fillId="0" borderId="0" xfId="1" applyNumberFormat="1" applyFont="1" applyFill="1" applyAlignment="1">
      <alignment horizontal="left"/>
    </xf>
    <xf numFmtId="0" fontId="48" fillId="0" borderId="0" xfId="0" applyNumberFormat="1" applyFont="1" applyFill="1" applyAlignment="1">
      <alignment wrapText="1"/>
    </xf>
    <xf numFmtId="0" fontId="49" fillId="0" borderId="0" xfId="0" applyNumberFormat="1" applyFont="1" applyFill="1" applyAlignment="1">
      <alignment horizontal="center"/>
    </xf>
    <xf numFmtId="0" fontId="48" fillId="0" borderId="0" xfId="0" applyNumberFormat="1" applyFont="1" applyFill="1" applyAlignment="1">
      <alignment horizontal="left"/>
    </xf>
    <xf numFmtId="0" fontId="49" fillId="0" borderId="0" xfId="0" applyNumberFormat="1" applyFont="1" applyFill="1" applyAlignment="1">
      <alignment horizontal="left"/>
    </xf>
    <xf numFmtId="0" fontId="51" fillId="0" borderId="0" xfId="0" applyNumberFormat="1" applyFont="1" applyFill="1"/>
    <xf numFmtId="0" fontId="51" fillId="0" borderId="0" xfId="0" applyNumberFormat="1" applyFont="1" applyFill="1" applyAlignment="1">
      <alignment horizontal="center"/>
    </xf>
    <xf numFmtId="0" fontId="52" fillId="0" borderId="0" xfId="0" applyNumberFormat="1" applyFont="1" applyFill="1" applyAlignment="1">
      <alignment horizontal="center"/>
    </xf>
    <xf numFmtId="0" fontId="52" fillId="0" borderId="0" xfId="0" applyNumberFormat="1" applyFont="1" applyFill="1" applyAlignment="1">
      <alignment horizontal="left"/>
    </xf>
    <xf numFmtId="164" fontId="52" fillId="0" borderId="0" xfId="1" applyNumberFormat="1" applyFont="1" applyFill="1" applyAlignment="1">
      <alignment horizontal="left"/>
    </xf>
    <xf numFmtId="0" fontId="51" fillId="0" borderId="0" xfId="0" applyNumberFormat="1" applyFont="1" applyFill="1" applyAlignment="1">
      <alignment horizontal="left"/>
    </xf>
    <xf numFmtId="0" fontId="51" fillId="3" borderId="0" xfId="0" applyNumberFormat="1" applyFont="1" applyFill="1"/>
    <xf numFmtId="0" fontId="51" fillId="4" borderId="0" xfId="0" applyNumberFormat="1" applyFont="1" applyFill="1"/>
    <xf numFmtId="3" fontId="53" fillId="0" borderId="0" xfId="0" applyNumberFormat="1" applyFont="1" applyFill="1" applyBorder="1"/>
    <xf numFmtId="0" fontId="51" fillId="0" borderId="0" xfId="0" applyNumberFormat="1" applyFont="1" applyFill="1" applyBorder="1"/>
    <xf numFmtId="0" fontId="51" fillId="0" borderId="0" xfId="0" applyNumberFormat="1" applyFont="1" applyFill="1" applyBorder="1" applyAlignment="1">
      <alignment horizontal="center"/>
    </xf>
    <xf numFmtId="0" fontId="51" fillId="0" borderId="0" xfId="0" applyNumberFormat="1" applyFont="1" applyFill="1" applyAlignment="1">
      <alignment wrapText="1"/>
    </xf>
    <xf numFmtId="164" fontId="15" fillId="0" borderId="7" xfId="1" applyNumberFormat="1" applyFont="1" applyFill="1" applyBorder="1" applyAlignment="1">
      <alignment horizontal="left"/>
    </xf>
    <xf numFmtId="37" fontId="37" fillId="2" borderId="0" xfId="0" applyNumberFormat="1" applyFont="1" applyFill="1" applyAlignment="1">
      <alignment horizontal="center"/>
    </xf>
    <xf numFmtId="37" fontId="41" fillId="2" borderId="0" xfId="0" applyNumberFormat="1" applyFont="1" applyFill="1" applyAlignment="1">
      <alignment horizontal="center"/>
    </xf>
    <xf numFmtId="0" fontId="25" fillId="0" borderId="11" xfId="0" applyNumberFormat="1" applyFont="1" applyFill="1" applyBorder="1" applyAlignment="1">
      <alignment wrapText="1"/>
    </xf>
    <xf numFmtId="0" fontId="25" fillId="0" borderId="0" xfId="0" applyNumberFormat="1" applyFont="1" applyFill="1" applyBorder="1" applyAlignment="1">
      <alignment horizontal="center"/>
    </xf>
    <xf numFmtId="0" fontId="25" fillId="0" borderId="7" xfId="0" applyNumberFormat="1" applyFont="1" applyFill="1" applyBorder="1" applyAlignment="1">
      <alignment horizontal="center"/>
    </xf>
    <xf numFmtId="0" fontId="25" fillId="0" borderId="11" xfId="0" applyNumberFormat="1" applyFont="1" applyFill="1" applyBorder="1" applyAlignment="1">
      <alignment horizontal="left"/>
    </xf>
    <xf numFmtId="164" fontId="25" fillId="0" borderId="0" xfId="1" applyNumberFormat="1" applyFont="1" applyFill="1" applyBorder="1" applyAlignment="1">
      <alignment horizontal="left"/>
    </xf>
    <xf numFmtId="49" fontId="25" fillId="0" borderId="0" xfId="0" applyNumberFormat="1" applyFont="1" applyFill="1" applyBorder="1" applyAlignment="1">
      <alignment horizontal="center"/>
    </xf>
    <xf numFmtId="0" fontId="25" fillId="0" borderId="11" xfId="0" applyNumberFormat="1" applyFont="1" applyFill="1" applyBorder="1" applyAlignment="1">
      <alignment horizontal="center"/>
    </xf>
    <xf numFmtId="0" fontId="25" fillId="0" borderId="0" xfId="0" applyNumberFormat="1" applyFont="1" applyFill="1" applyBorder="1" applyAlignment="1">
      <alignment horizontal="left"/>
    </xf>
    <xf numFmtId="164" fontId="25" fillId="0" borderId="7" xfId="1" applyNumberFormat="1" applyFont="1" applyFill="1" applyBorder="1" applyAlignment="1">
      <alignment horizontal="center"/>
    </xf>
    <xf numFmtId="164" fontId="25" fillId="0" borderId="0" xfId="1" applyNumberFormat="1" applyFont="1" applyFill="1" applyBorder="1" applyAlignment="1">
      <alignment horizontal="center"/>
    </xf>
    <xf numFmtId="164" fontId="25" fillId="0" borderId="12" xfId="1" applyNumberFormat="1" applyFont="1" applyFill="1" applyBorder="1" applyAlignment="1">
      <alignment horizontal="center"/>
    </xf>
    <xf numFmtId="164" fontId="25" fillId="5" borderId="0" xfId="1" applyNumberFormat="1" applyFont="1" applyFill="1" applyBorder="1" applyAlignment="1">
      <alignment horizontal="center"/>
    </xf>
    <xf numFmtId="164" fontId="59" fillId="0" borderId="0" xfId="1" applyNumberFormat="1" applyFont="1" applyFill="1" applyBorder="1" applyAlignment="1"/>
    <xf numFmtId="164" fontId="59" fillId="0" borderId="11" xfId="1" applyNumberFormat="1" applyFont="1" applyFill="1" applyBorder="1" applyAlignment="1"/>
    <xf numFmtId="0" fontId="25" fillId="0" borderId="0" xfId="0" applyNumberFormat="1" applyFont="1" applyFill="1"/>
    <xf numFmtId="0" fontId="60" fillId="0" borderId="0" xfId="0" applyNumberFormat="1" applyFont="1" applyFill="1" applyBorder="1"/>
    <xf numFmtId="164" fontId="25" fillId="3" borderId="7" xfId="1" applyNumberFormat="1" applyFont="1" applyFill="1" applyBorder="1" applyAlignment="1">
      <alignment horizontal="center"/>
    </xf>
    <xf numFmtId="164" fontId="25" fillId="3" borderId="0" xfId="1" applyNumberFormat="1" applyFont="1" applyFill="1" applyBorder="1" applyAlignment="1">
      <alignment horizontal="center"/>
    </xf>
    <xf numFmtId="164" fontId="25" fillId="3" borderId="12" xfId="1" applyNumberFormat="1" applyFont="1" applyFill="1" applyBorder="1" applyAlignment="1">
      <alignment horizontal="center"/>
    </xf>
    <xf numFmtId="164" fontId="25" fillId="4" borderId="7" xfId="1" applyNumberFormat="1" applyFont="1" applyFill="1" applyBorder="1" applyAlignment="1">
      <alignment horizontal="center"/>
    </xf>
    <xf numFmtId="164" fontId="25" fillId="4" borderId="0" xfId="1" applyNumberFormat="1" applyFont="1" applyFill="1" applyBorder="1" applyAlignment="1">
      <alignment horizontal="center"/>
    </xf>
    <xf numFmtId="164" fontId="25" fillId="4" borderId="12" xfId="1" applyNumberFormat="1" applyFont="1" applyFill="1" applyBorder="1" applyAlignment="1">
      <alignment horizontal="center"/>
    </xf>
    <xf numFmtId="0" fontId="25" fillId="0" borderId="12" xfId="0" applyNumberFormat="1" applyFont="1" applyFill="1" applyBorder="1" applyAlignment="1">
      <alignment horizontal="center"/>
    </xf>
    <xf numFmtId="0" fontId="25" fillId="0" borderId="0" xfId="0" applyNumberFormat="1" applyFont="1" applyFill="1" applyBorder="1" applyAlignment="1">
      <alignment horizontal="center" wrapText="1"/>
    </xf>
    <xf numFmtId="3" fontId="25" fillId="0" borderId="0" xfId="0" applyNumberFormat="1" applyFont="1" applyFill="1" applyBorder="1" applyAlignment="1">
      <alignment horizontal="center"/>
    </xf>
    <xf numFmtId="0" fontId="61" fillId="0" borderId="0" xfId="0" applyFont="1" applyFill="1" applyBorder="1" applyAlignment="1">
      <alignment horizontal="center" vertical="top" wrapText="1"/>
    </xf>
    <xf numFmtId="0" fontId="61" fillId="0" borderId="0" xfId="0" applyFont="1" applyFill="1" applyBorder="1" applyAlignment="1">
      <alignment horizontal="center" wrapText="1"/>
    </xf>
    <xf numFmtId="0" fontId="62" fillId="0" borderId="0" xfId="0" applyFont="1" applyFill="1" applyBorder="1" applyAlignment="1">
      <alignment horizontal="center" wrapText="1"/>
    </xf>
    <xf numFmtId="0" fontId="64" fillId="0" borderId="0" xfId="0" applyFont="1" applyFill="1" applyBorder="1" applyAlignment="1">
      <alignment horizontal="center" vertical="top" wrapText="1"/>
    </xf>
    <xf numFmtId="0" fontId="0" fillId="0" borderId="0" xfId="0" applyFill="1" applyBorder="1" applyAlignment="1">
      <alignment wrapText="1"/>
    </xf>
    <xf numFmtId="0" fontId="65" fillId="0" borderId="0" xfId="0" applyFont="1" applyFill="1" applyBorder="1" applyAlignment="1">
      <alignment wrapText="1"/>
    </xf>
    <xf numFmtId="0" fontId="66" fillId="0" borderId="0" xfId="0" applyFont="1" applyFill="1" applyBorder="1" applyAlignment="1">
      <alignment wrapText="1"/>
    </xf>
    <xf numFmtId="0" fontId="69" fillId="0" borderId="0" xfId="0" applyFont="1" applyFill="1" applyBorder="1" applyAlignment="1">
      <alignment wrapText="1"/>
    </xf>
    <xf numFmtId="0" fontId="70" fillId="0" borderId="0" xfId="0" applyFont="1" applyFill="1" applyBorder="1" applyAlignment="1">
      <alignment wrapText="1"/>
    </xf>
    <xf numFmtId="0" fontId="71" fillId="0" borderId="0" xfId="0" applyFont="1" applyFill="1" applyBorder="1" applyAlignment="1">
      <alignment wrapText="1"/>
    </xf>
    <xf numFmtId="0" fontId="65" fillId="0" borderId="0" xfId="0" applyFont="1" applyFill="1" applyBorder="1" applyAlignment="1">
      <alignment vertical="top" wrapText="1"/>
    </xf>
    <xf numFmtId="0" fontId="72" fillId="0" borderId="0" xfId="0" applyFont="1" applyFill="1" applyBorder="1" applyAlignment="1">
      <alignment wrapText="1"/>
    </xf>
    <xf numFmtId="0" fontId="73" fillId="0" borderId="0" xfId="0" applyFont="1" applyFill="1" applyBorder="1" applyAlignment="1">
      <alignment wrapText="1"/>
    </xf>
    <xf numFmtId="0" fontId="0" fillId="0" borderId="0" xfId="0" applyAlignment="1">
      <alignment horizontal="center"/>
    </xf>
    <xf numFmtId="0" fontId="3" fillId="2" borderId="0" xfId="0" applyNumberFormat="1" applyFont="1" applyFill="1"/>
    <xf numFmtId="0" fontId="4" fillId="2" borderId="0" xfId="0" applyNumberFormat="1" applyFont="1" applyFill="1"/>
    <xf numFmtId="0" fontId="6" fillId="2" borderId="0" xfId="0" applyNumberFormat="1" applyFont="1" applyFill="1" applyBorder="1" applyAlignment="1">
      <alignment vertical="center"/>
    </xf>
    <xf numFmtId="0" fontId="12" fillId="0" borderId="5" xfId="0" applyNumberFormat="1" applyFont="1" applyFill="1" applyBorder="1" applyAlignment="1">
      <alignment horizontal="left" vertical="center" wrapText="1"/>
    </xf>
    <xf numFmtId="0" fontId="15" fillId="3" borderId="7" xfId="0" applyNumberFormat="1" applyFont="1" applyFill="1" applyBorder="1" applyAlignment="1">
      <alignment horizontal="center"/>
    </xf>
    <xf numFmtId="0" fontId="15" fillId="3" borderId="0" xfId="0" applyNumberFormat="1" applyFont="1" applyFill="1" applyBorder="1" applyAlignment="1">
      <alignment horizontal="center"/>
    </xf>
    <xf numFmtId="0" fontId="15" fillId="3" borderId="12" xfId="0" applyNumberFormat="1" applyFont="1" applyFill="1" applyBorder="1" applyAlignment="1">
      <alignment horizontal="center"/>
    </xf>
    <xf numFmtId="0" fontId="15" fillId="4" borderId="7" xfId="0" applyNumberFormat="1" applyFont="1" applyFill="1" applyBorder="1" applyAlignment="1">
      <alignment horizontal="center"/>
    </xf>
    <xf numFmtId="0" fontId="15" fillId="4" borderId="0" xfId="0" applyNumberFormat="1" applyFont="1" applyFill="1" applyBorder="1" applyAlignment="1">
      <alignment horizontal="center"/>
    </xf>
    <xf numFmtId="0" fontId="15" fillId="4" borderId="12" xfId="0" applyNumberFormat="1" applyFont="1" applyFill="1" applyBorder="1" applyAlignment="1">
      <alignment horizontal="center"/>
    </xf>
    <xf numFmtId="0" fontId="19" fillId="3" borderId="7" xfId="0" applyNumberFormat="1" applyFont="1" applyFill="1" applyBorder="1" applyAlignment="1">
      <alignment horizontal="center"/>
    </xf>
    <xf numFmtId="0" fontId="19" fillId="3" borderId="0" xfId="0" applyNumberFormat="1" applyFont="1" applyFill="1" applyBorder="1" applyAlignment="1">
      <alignment horizontal="center"/>
    </xf>
    <xf numFmtId="0" fontId="19" fillId="3" borderId="12" xfId="0" applyNumberFormat="1" applyFont="1" applyFill="1" applyBorder="1" applyAlignment="1">
      <alignment horizontal="center"/>
    </xf>
    <xf numFmtId="0" fontId="19" fillId="4" borderId="7" xfId="0" applyNumberFormat="1" applyFont="1" applyFill="1" applyBorder="1" applyAlignment="1">
      <alignment horizontal="center"/>
    </xf>
    <xf numFmtId="0" fontId="19" fillId="4" borderId="0" xfId="0" applyNumberFormat="1" applyFont="1" applyFill="1" applyBorder="1" applyAlignment="1">
      <alignment horizontal="center"/>
    </xf>
    <xf numFmtId="0" fontId="19" fillId="4" borderId="12" xfId="0" applyNumberFormat="1" applyFont="1" applyFill="1" applyBorder="1" applyAlignment="1">
      <alignment horizontal="center"/>
    </xf>
    <xf numFmtId="164" fontId="19" fillId="6" borderId="7" xfId="1" applyNumberFormat="1" applyFont="1" applyFill="1" applyBorder="1" applyAlignment="1">
      <alignment horizontal="center"/>
    </xf>
    <xf numFmtId="164" fontId="19" fillId="6" borderId="0" xfId="1" applyNumberFormat="1" applyFont="1" applyFill="1" applyBorder="1" applyAlignment="1">
      <alignment horizontal="center"/>
    </xf>
    <xf numFmtId="164" fontId="19" fillId="6" borderId="12" xfId="1" applyNumberFormat="1" applyFont="1" applyFill="1" applyBorder="1" applyAlignment="1">
      <alignment horizontal="center"/>
    </xf>
    <xf numFmtId="164" fontId="16" fillId="0" borderId="13" xfId="1" applyNumberFormat="1" applyFont="1" applyFill="1" applyBorder="1" applyAlignment="1"/>
    <xf numFmtId="0" fontId="16" fillId="0" borderId="3" xfId="0" applyNumberFormat="1" applyFont="1" applyFill="1" applyBorder="1" applyAlignment="1">
      <alignment horizontal="left"/>
    </xf>
    <xf numFmtId="0" fontId="28" fillId="2" borderId="0" xfId="0" applyNumberFormat="1" applyFont="1" applyFill="1" applyAlignment="1"/>
    <xf numFmtId="0" fontId="46" fillId="2" borderId="0" xfId="0" applyNumberFormat="1" applyFont="1" applyFill="1"/>
    <xf numFmtId="0" fontId="74" fillId="2" borderId="0" xfId="0" applyNumberFormat="1" applyFont="1" applyFill="1"/>
    <xf numFmtId="0" fontId="74" fillId="2" borderId="0" xfId="0" applyNumberFormat="1" applyFont="1" applyFill="1" applyAlignment="1">
      <alignment horizontal="center"/>
    </xf>
    <xf numFmtId="37" fontId="74" fillId="2" borderId="0" xfId="0" applyNumberFormat="1" applyFont="1" applyFill="1"/>
    <xf numFmtId="37" fontId="74" fillId="2" borderId="0" xfId="0" applyNumberFormat="1" applyFont="1" applyFill="1" applyAlignment="1">
      <alignment horizontal="left"/>
    </xf>
    <xf numFmtId="0" fontId="47" fillId="2" borderId="0" xfId="0" applyNumberFormat="1" applyFont="1" applyFill="1"/>
    <xf numFmtId="0" fontId="75" fillId="2" borderId="0" xfId="0" applyNumberFormat="1" applyFont="1" applyFill="1"/>
    <xf numFmtId="0" fontId="36" fillId="2" borderId="0" xfId="0" applyNumberFormat="1" applyFont="1" applyFill="1"/>
    <xf numFmtId="0" fontId="37" fillId="2" borderId="0" xfId="0" applyNumberFormat="1" applyFont="1" applyFill="1"/>
    <xf numFmtId="0" fontId="40" fillId="2" borderId="0" xfId="0" applyNumberFormat="1" applyFont="1" applyFill="1"/>
    <xf numFmtId="0" fontId="41" fillId="2" borderId="0" xfId="0" applyNumberFormat="1" applyFont="1" applyFill="1"/>
    <xf numFmtId="0" fontId="49" fillId="0" borderId="0" xfId="0" applyNumberFormat="1" applyFont="1" applyFill="1"/>
    <xf numFmtId="0" fontId="52" fillId="0" borderId="0" xfId="0" applyNumberFormat="1" applyFont="1" applyFill="1"/>
    <xf numFmtId="0" fontId="0" fillId="0" borderId="0" xfId="0" applyFill="1" applyBorder="1" applyAlignment="1">
      <alignment vertical="top" wrapText="1"/>
    </xf>
    <xf numFmtId="0" fontId="6" fillId="2" borderId="0" xfId="0" applyNumberFormat="1" applyFont="1" applyFill="1" applyBorder="1" applyAlignment="1">
      <alignment horizontal="center" vertical="center"/>
    </xf>
    <xf numFmtId="0" fontId="0" fillId="0" borderId="0" xfId="0" applyAlignment="1">
      <alignment horizontal="left"/>
    </xf>
    <xf numFmtId="164" fontId="0" fillId="0" borderId="0" xfId="0" applyNumberFormat="1"/>
    <xf numFmtId="0" fontId="0" fillId="0" borderId="0" xfId="0" applyAlignment="1">
      <alignment horizontal="center" wrapText="1"/>
    </xf>
    <xf numFmtId="0" fontId="14" fillId="0" borderId="6" xfId="0" applyNumberFormat="1" applyFont="1" applyFill="1" applyBorder="1" applyAlignment="1">
      <alignment horizontal="center" vertical="center" wrapText="1"/>
    </xf>
    <xf numFmtId="0" fontId="15" fillId="0" borderId="9" xfId="0" applyNumberFormat="1" applyFont="1" applyFill="1" applyBorder="1" applyAlignment="1">
      <alignment horizontal="left"/>
    </xf>
    <xf numFmtId="164" fontId="15" fillId="0" borderId="8" xfId="1" applyNumberFormat="1" applyFont="1" applyFill="1" applyBorder="1" applyAlignment="1">
      <alignment horizontal="left"/>
    </xf>
    <xf numFmtId="0" fontId="15" fillId="0" borderId="9" xfId="0" applyNumberFormat="1" applyFont="1" applyFill="1" applyBorder="1" applyAlignment="1">
      <alignment horizontal="center"/>
    </xf>
    <xf numFmtId="49" fontId="15" fillId="0" borderId="9" xfId="0" applyNumberFormat="1" applyFont="1" applyFill="1" applyBorder="1" applyAlignment="1">
      <alignment horizontal="center"/>
    </xf>
    <xf numFmtId="0" fontId="15" fillId="0" borderId="10" xfId="0" applyNumberFormat="1" applyFont="1" applyFill="1" applyBorder="1" applyAlignment="1">
      <alignment horizontal="center"/>
    </xf>
    <xf numFmtId="164" fontId="15" fillId="5" borderId="8" xfId="1" applyNumberFormat="1" applyFont="1" applyFill="1" applyBorder="1" applyAlignment="1">
      <alignment horizontal="center"/>
    </xf>
    <xf numFmtId="164" fontId="15" fillId="5" borderId="9" xfId="1" applyNumberFormat="1" applyFont="1" applyFill="1" applyBorder="1" applyAlignment="1">
      <alignment horizontal="center"/>
    </xf>
    <xf numFmtId="164" fontId="15" fillId="5" borderId="10" xfId="1" applyNumberFormat="1" applyFont="1" applyFill="1" applyBorder="1" applyAlignment="1">
      <alignment horizontal="center"/>
    </xf>
    <xf numFmtId="164" fontId="16" fillId="0" borderId="8" xfId="1" applyNumberFormat="1" applyFont="1" applyFill="1" applyBorder="1" applyAlignment="1"/>
    <xf numFmtId="164" fontId="16" fillId="0" borderId="10" xfId="1" applyNumberFormat="1" applyFont="1" applyFill="1" applyBorder="1" applyAlignment="1"/>
    <xf numFmtId="0" fontId="15" fillId="0" borderId="11" xfId="0" applyNumberFormat="1" applyFont="1" applyFill="1" applyBorder="1"/>
    <xf numFmtId="164" fontId="25" fillId="0" borderId="7" xfId="1" applyNumberFormat="1" applyFont="1" applyFill="1" applyBorder="1" applyAlignment="1">
      <alignment horizontal="left"/>
    </xf>
    <xf numFmtId="164" fontId="25" fillId="5" borderId="7" xfId="1" applyNumberFormat="1" applyFont="1" applyFill="1" applyBorder="1" applyAlignment="1">
      <alignment horizontal="center"/>
    </xf>
    <xf numFmtId="164" fontId="25" fillId="5" borderId="12" xfId="1" applyNumberFormat="1" applyFont="1" applyFill="1" applyBorder="1" applyAlignment="1">
      <alignment horizontal="center"/>
    </xf>
    <xf numFmtId="164" fontId="59" fillId="0" borderId="7" xfId="1" applyNumberFormat="1" applyFont="1" applyFill="1" applyBorder="1" applyAlignment="1"/>
    <xf numFmtId="164" fontId="59" fillId="0" borderId="12" xfId="1" applyNumberFormat="1" applyFont="1" applyFill="1" applyBorder="1" applyAlignment="1"/>
    <xf numFmtId="0" fontId="25" fillId="0" borderId="11" xfId="0" applyNumberFormat="1" applyFont="1" applyFill="1" applyBorder="1"/>
    <xf numFmtId="164" fontId="15" fillId="5" borderId="7" xfId="1" applyNumberFormat="1" applyFont="1" applyFill="1" applyBorder="1" applyAlignment="1">
      <alignment horizontal="center"/>
    </xf>
    <xf numFmtId="164" fontId="15" fillId="5" borderId="12" xfId="1" applyNumberFormat="1" applyFont="1" applyFill="1" applyBorder="1" applyAlignment="1">
      <alignment horizontal="center"/>
    </xf>
    <xf numFmtId="164" fontId="16" fillId="0" borderId="7" xfId="1" applyNumberFormat="1" applyFont="1" applyFill="1" applyBorder="1" applyAlignment="1"/>
    <xf numFmtId="164" fontId="16" fillId="0" borderId="12" xfId="1" applyNumberFormat="1" applyFont="1" applyFill="1" applyBorder="1" applyAlignment="1"/>
    <xf numFmtId="0" fontId="20" fillId="0" borderId="11" xfId="0" applyNumberFormat="1" applyFont="1" applyFill="1" applyBorder="1"/>
    <xf numFmtId="0" fontId="19" fillId="6" borderId="11" xfId="0" applyNumberFormat="1" applyFont="1" applyFill="1" applyBorder="1" applyAlignment="1">
      <alignment horizontal="left" wrapText="1"/>
    </xf>
    <xf numFmtId="164" fontId="19" fillId="0" borderId="7" xfId="1" applyNumberFormat="1" applyFont="1" applyFill="1" applyBorder="1" applyAlignment="1">
      <alignment horizontal="left"/>
    </xf>
    <xf numFmtId="164" fontId="19" fillId="5" borderId="7" xfId="1" applyNumberFormat="1" applyFont="1" applyFill="1" applyBorder="1" applyAlignment="1">
      <alignment horizontal="center"/>
    </xf>
    <xf numFmtId="164" fontId="21" fillId="0" borderId="7" xfId="1" applyNumberFormat="1" applyFont="1" applyFill="1" applyBorder="1" applyAlignment="1"/>
    <xf numFmtId="164" fontId="21" fillId="0" borderId="12" xfId="1" applyNumberFormat="1" applyFont="1" applyFill="1" applyBorder="1" applyAlignment="1"/>
    <xf numFmtId="0" fontId="19" fillId="0" borderId="11" xfId="0" applyNumberFormat="1" applyFont="1" applyFill="1" applyBorder="1"/>
    <xf numFmtId="164" fontId="19" fillId="5" borderId="12" xfId="1" applyNumberFormat="1" applyFont="1" applyFill="1" applyBorder="1" applyAlignment="1">
      <alignment horizontal="center"/>
    </xf>
    <xf numFmtId="3" fontId="19" fillId="0" borderId="11" xfId="0" applyNumberFormat="1" applyFont="1" applyFill="1" applyBorder="1"/>
    <xf numFmtId="0" fontId="19" fillId="6" borderId="11" xfId="0" applyNumberFormat="1" applyFont="1" applyFill="1" applyBorder="1" applyAlignment="1">
      <alignment wrapText="1"/>
    </xf>
    <xf numFmtId="164" fontId="22" fillId="6" borderId="0" xfId="1" applyNumberFormat="1" applyFont="1" applyFill="1" applyBorder="1" applyAlignment="1">
      <alignment horizontal="center"/>
    </xf>
    <xf numFmtId="164" fontId="22" fillId="6" borderId="12" xfId="1" applyNumberFormat="1" applyFont="1" applyFill="1" applyBorder="1" applyAlignment="1">
      <alignment horizontal="center"/>
    </xf>
    <xf numFmtId="3" fontId="19" fillId="0" borderId="0" xfId="0" applyNumberFormat="1" applyFont="1" applyFill="1" applyBorder="1"/>
    <xf numFmtId="3" fontId="15" fillId="0" borderId="11" xfId="0" applyNumberFormat="1" applyFont="1" applyFill="1" applyBorder="1"/>
    <xf numFmtId="0" fontId="15" fillId="0" borderId="7" xfId="0" applyNumberFormat="1" applyFont="1" applyFill="1" applyBorder="1" applyAlignment="1">
      <alignment wrapText="1"/>
    </xf>
    <xf numFmtId="0" fontId="15" fillId="0" borderId="12" xfId="0" applyNumberFormat="1" applyFont="1" applyFill="1" applyBorder="1" applyAlignment="1">
      <alignment wrapText="1"/>
    </xf>
    <xf numFmtId="0" fontId="25" fillId="6" borderId="11" xfId="0" applyNumberFormat="1" applyFont="1" applyFill="1" applyBorder="1" applyAlignment="1">
      <alignment wrapText="1"/>
    </xf>
    <xf numFmtId="164" fontId="25" fillId="6" borderId="0" xfId="1" applyNumberFormat="1" applyFont="1" applyFill="1" applyBorder="1" applyAlignment="1">
      <alignment horizontal="center"/>
    </xf>
    <xf numFmtId="164" fontId="25" fillId="6" borderId="12" xfId="1" applyNumberFormat="1" applyFont="1" applyFill="1" applyBorder="1" applyAlignment="1">
      <alignment horizontal="center"/>
    </xf>
    <xf numFmtId="0" fontId="15" fillId="0" borderId="1" xfId="0" applyNumberFormat="1" applyFont="1" applyFill="1" applyBorder="1" applyAlignment="1">
      <alignment horizontal="left"/>
    </xf>
    <xf numFmtId="164" fontId="15" fillId="0" borderId="14" xfId="1" applyNumberFormat="1" applyFont="1" applyFill="1" applyBorder="1" applyAlignment="1">
      <alignment horizontal="left"/>
    </xf>
    <xf numFmtId="0" fontId="15" fillId="0" borderId="15" xfId="0" applyNumberFormat="1" applyFont="1" applyFill="1" applyBorder="1" applyAlignment="1">
      <alignment horizontal="center"/>
    </xf>
    <xf numFmtId="164" fontId="15" fillId="5" borderId="14" xfId="1" applyNumberFormat="1" applyFont="1" applyFill="1" applyBorder="1" applyAlignment="1">
      <alignment horizontal="center"/>
    </xf>
    <xf numFmtId="164" fontId="15" fillId="5" borderId="15" xfId="1" applyNumberFormat="1" applyFont="1" applyFill="1" applyBorder="1" applyAlignment="1">
      <alignment horizontal="center"/>
    </xf>
    <xf numFmtId="164" fontId="16" fillId="0" borderId="14" xfId="1" applyNumberFormat="1" applyFont="1" applyFill="1" applyBorder="1" applyAlignment="1"/>
    <xf numFmtId="164" fontId="16" fillId="0" borderId="15" xfId="1" applyNumberFormat="1" applyFont="1" applyFill="1" applyBorder="1" applyAlignment="1"/>
    <xf numFmtId="0" fontId="15" fillId="0" borderId="13" xfId="0" applyNumberFormat="1" applyFont="1" applyFill="1" applyBorder="1"/>
    <xf numFmtId="3" fontId="76" fillId="0" borderId="3" xfId="0" applyNumberFormat="1" applyFont="1" applyFill="1" applyBorder="1"/>
    <xf numFmtId="0" fontId="16" fillId="0" borderId="5" xfId="0" applyNumberFormat="1" applyFont="1" applyFill="1" applyBorder="1"/>
    <xf numFmtId="3" fontId="76" fillId="2" borderId="0" xfId="0" applyNumberFormat="1" applyFont="1" applyFill="1" applyBorder="1"/>
    <xf numFmtId="166" fontId="2" fillId="2" borderId="0" xfId="10" applyNumberFormat="1" applyFont="1" applyFill="1" applyBorder="1" applyAlignment="1"/>
    <xf numFmtId="166" fontId="2" fillId="2" borderId="0" xfId="10" applyNumberFormat="1" applyFont="1" applyFill="1" applyBorder="1" applyAlignment="1">
      <alignment horizontal="center"/>
    </xf>
    <xf numFmtId="3" fontId="77" fillId="2" borderId="0" xfId="0" applyNumberFormat="1" applyFont="1" applyFill="1" applyBorder="1"/>
    <xf numFmtId="0" fontId="43" fillId="6" borderId="0" xfId="0" applyNumberFormat="1" applyFont="1" applyFill="1" applyAlignment="1"/>
    <xf numFmtId="0" fontId="48" fillId="6" borderId="0" xfId="0" applyNumberFormat="1" applyFont="1" applyFill="1" applyAlignment="1">
      <alignment horizontal="center"/>
    </xf>
    <xf numFmtId="0" fontId="49" fillId="6" borderId="0" xfId="0" applyNumberFormat="1" applyFont="1" applyFill="1" applyAlignment="1">
      <alignment horizontal="center"/>
    </xf>
    <xf numFmtId="0" fontId="49" fillId="6" borderId="0" xfId="0" applyNumberFormat="1" applyFont="1" applyFill="1" applyAlignment="1">
      <alignment horizontal="left"/>
    </xf>
    <xf numFmtId="164" fontId="49" fillId="6" borderId="0" xfId="1" applyNumberFormat="1" applyFont="1" applyFill="1" applyAlignment="1">
      <alignment horizontal="left"/>
    </xf>
    <xf numFmtId="0" fontId="48" fillId="6" borderId="0" xfId="0" applyNumberFormat="1" applyFont="1" applyFill="1"/>
    <xf numFmtId="0" fontId="48" fillId="6" borderId="0" xfId="0" applyNumberFormat="1" applyFont="1" applyFill="1" applyAlignment="1">
      <alignment horizontal="left"/>
    </xf>
    <xf numFmtId="0" fontId="25" fillId="6" borderId="0" xfId="0" applyNumberFormat="1" applyFont="1" applyFill="1"/>
    <xf numFmtId="0" fontId="19" fillId="6" borderId="0" xfId="0" applyNumberFormat="1" applyFont="1" applyFill="1"/>
    <xf numFmtId="0" fontId="22" fillId="6" borderId="0" xfId="0" applyNumberFormat="1" applyFont="1" applyFill="1"/>
    <xf numFmtId="0" fontId="50" fillId="6" borderId="0" xfId="0" applyNumberFormat="1" applyFont="1" applyFill="1" applyAlignment="1">
      <alignment horizontal="center"/>
    </xf>
    <xf numFmtId="0" fontId="78" fillId="6" borderId="0" xfId="0" applyNumberFormat="1" applyFont="1" applyFill="1" applyAlignment="1">
      <alignment horizontal="center"/>
    </xf>
    <xf numFmtId="0" fontId="78" fillId="6" borderId="0" xfId="0" applyNumberFormat="1" applyFont="1" applyFill="1" applyAlignment="1">
      <alignment horizontal="left"/>
    </xf>
    <xf numFmtId="3" fontId="20" fillId="0" borderId="0" xfId="0" applyNumberFormat="1" applyFont="1" applyFill="1" applyBorder="1"/>
    <xf numFmtId="3" fontId="23" fillId="0" borderId="0" xfId="0" applyNumberFormat="1" applyFont="1" applyFill="1" applyBorder="1"/>
    <xf numFmtId="0" fontId="16" fillId="0" borderId="5" xfId="0" applyNumberFormat="1" applyFont="1" applyFill="1" applyBorder="1" applyAlignment="1">
      <alignment horizontal="center"/>
    </xf>
    <xf numFmtId="0" fontId="32" fillId="6" borderId="0" xfId="0" applyNumberFormat="1" applyFont="1" applyFill="1"/>
    <xf numFmtId="0" fontId="46" fillId="6" borderId="0" xfId="0" applyNumberFormat="1" applyFont="1" applyFill="1"/>
    <xf numFmtId="0" fontId="46" fillId="6" borderId="0" xfId="0" applyNumberFormat="1" applyFont="1" applyFill="1" applyAlignment="1">
      <alignment horizontal="left"/>
    </xf>
    <xf numFmtId="164" fontId="46" fillId="6" borderId="0" xfId="1" applyNumberFormat="1" applyFont="1" applyFill="1" applyAlignment="1">
      <alignment horizontal="left"/>
    </xf>
    <xf numFmtId="0" fontId="46" fillId="6" borderId="0" xfId="0" applyNumberFormat="1" applyFont="1" applyFill="1" applyAlignment="1">
      <alignment horizontal="center"/>
    </xf>
    <xf numFmtId="0" fontId="32" fillId="6" borderId="0" xfId="0" applyNumberFormat="1" applyFont="1" applyFill="1" applyAlignment="1">
      <alignment horizontal="center"/>
    </xf>
    <xf numFmtId="0" fontId="32" fillId="6" borderId="0" xfId="0" applyNumberFormat="1" applyFont="1" applyFill="1" applyAlignment="1">
      <alignment horizontal="left"/>
    </xf>
    <xf numFmtId="0" fontId="49" fillId="6" borderId="0" xfId="0" applyNumberFormat="1" applyFont="1" applyFill="1"/>
    <xf numFmtId="0" fontId="24" fillId="0" borderId="0" xfId="2" applyFont="1" applyAlignment="1" applyProtection="1"/>
    <xf numFmtId="0" fontId="79" fillId="0" borderId="0" xfId="2" applyFont="1" applyFill="1" applyAlignment="1" applyProtection="1"/>
    <xf numFmtId="37" fontId="16" fillId="0" borderId="0" xfId="0" applyNumberFormat="1" applyFont="1" applyFill="1" applyBorder="1"/>
    <xf numFmtId="37" fontId="16" fillId="0" borderId="11" xfId="0" applyNumberFormat="1" applyFont="1" applyFill="1" applyBorder="1"/>
    <xf numFmtId="0" fontId="24" fillId="0" borderId="0" xfId="2" applyNumberFormat="1" applyFont="1" applyFill="1" applyBorder="1" applyAlignment="1" applyProtection="1"/>
    <xf numFmtId="0" fontId="18" fillId="0" borderId="0" xfId="2" applyNumberFormat="1" applyFont="1" applyFill="1" applyBorder="1" applyAlignment="1" applyProtection="1"/>
    <xf numFmtId="0" fontId="75" fillId="2" borderId="0" xfId="0" applyNumberFormat="1" applyFont="1" applyFill="1" applyBorder="1"/>
    <xf numFmtId="0" fontId="0" fillId="0" borderId="0" xfId="0" pivotButton="1"/>
    <xf numFmtId="0" fontId="0" fillId="0" borderId="0" xfId="0" applyNumberFormat="1" applyAlignment="1">
      <alignment horizontal="center"/>
    </xf>
    <xf numFmtId="0" fontId="6" fillId="2" borderId="0" xfId="0" applyNumberFormat="1" applyFont="1" applyFill="1" applyBorder="1" applyAlignment="1">
      <alignment horizontal="center" vertical="center"/>
    </xf>
    <xf numFmtId="0" fontId="3" fillId="3" borderId="1" xfId="0" applyNumberFormat="1" applyFont="1" applyFill="1" applyBorder="1" applyAlignment="1">
      <alignment horizontal="center"/>
    </xf>
    <xf numFmtId="0" fontId="3" fillId="4" borderId="0" xfId="0" applyNumberFormat="1" applyFont="1" applyFill="1" applyAlignment="1">
      <alignment horizontal="center"/>
    </xf>
    <xf numFmtId="0" fontId="3" fillId="0" borderId="0" xfId="0" applyNumberFormat="1" applyFont="1" applyFill="1" applyAlignment="1">
      <alignment horizontal="center"/>
    </xf>
    <xf numFmtId="0" fontId="6" fillId="3" borderId="2" xfId="0" applyNumberFormat="1" applyFont="1" applyFill="1" applyBorder="1" applyAlignment="1">
      <alignment horizontal="center" vertical="center"/>
    </xf>
    <xf numFmtId="0" fontId="6" fillId="3" borderId="3" xfId="0" applyNumberFormat="1" applyFont="1" applyFill="1" applyBorder="1" applyAlignment="1">
      <alignment horizontal="center" vertical="center"/>
    </xf>
    <xf numFmtId="0" fontId="6" fillId="3" borderId="4" xfId="0" applyNumberFormat="1" applyFont="1" applyFill="1" applyBorder="1" applyAlignment="1">
      <alignment horizontal="center" vertical="center"/>
    </xf>
    <xf numFmtId="0" fontId="6" fillId="4" borderId="1"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0" fontId="7" fillId="0" borderId="3" xfId="0" applyNumberFormat="1" applyFont="1" applyFill="1" applyBorder="1" applyAlignment="1">
      <alignment horizontal="center" vertical="center"/>
    </xf>
    <xf numFmtId="0" fontId="7" fillId="0" borderId="4" xfId="0" applyNumberFormat="1" applyFont="1" applyFill="1" applyBorder="1" applyAlignment="1">
      <alignment horizontal="center" vertical="center"/>
    </xf>
    <xf numFmtId="0" fontId="8"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xf>
    <xf numFmtId="0" fontId="8" fillId="0" borderId="4" xfId="0" applyNumberFormat="1" applyFont="1" applyFill="1" applyBorder="1" applyAlignment="1">
      <alignment horizontal="center" vertical="center"/>
    </xf>
    <xf numFmtId="0" fontId="7" fillId="5" borderId="2" xfId="0" applyNumberFormat="1" applyFont="1" applyFill="1" applyBorder="1" applyAlignment="1">
      <alignment horizontal="center" vertical="center" wrapText="1"/>
    </xf>
    <xf numFmtId="0" fontId="7" fillId="5" borderId="3" xfId="0" applyNumberFormat="1" applyFont="1" applyFill="1" applyBorder="1" applyAlignment="1">
      <alignment horizontal="center" vertical="center"/>
    </xf>
    <xf numFmtId="0" fontId="7" fillId="5" borderId="4" xfId="0" applyNumberFormat="1" applyFont="1" applyFill="1" applyBorder="1" applyAlignment="1">
      <alignment horizontal="center" vertical="center"/>
    </xf>
    <xf numFmtId="0" fontId="7" fillId="0" borderId="2" xfId="0" applyNumberFormat="1" applyFont="1" applyFill="1" applyBorder="1" applyAlignment="1">
      <alignment horizontal="center" vertical="center" wrapText="1"/>
    </xf>
  </cellXfs>
  <cellStyles count="11">
    <cellStyle name="Comma" xfId="1" builtinId="3"/>
    <cellStyle name="Comma 2" xfId="3"/>
    <cellStyle name="Hyperlink" xfId="2" builtinId="8"/>
    <cellStyle name="Normal" xfId="0" builtinId="0"/>
    <cellStyle name="Normal 2" xfId="4"/>
    <cellStyle name="Normal 3" xfId="5"/>
    <cellStyle name="Normal 4" xfId="6"/>
    <cellStyle name="Normal 5" xfId="7"/>
    <cellStyle name="Normal 6" xfId="8"/>
    <cellStyle name="Normal 7" xfId="9"/>
    <cellStyle name="Percent" xfId="10" builtinId="5"/>
  </cellStyles>
  <dxfs count="11">
    <dxf>
      <alignment horizontal="center" readingOrder="0"/>
    </dxf>
    <dxf>
      <alignment horizontal="center" readingOrder="0"/>
    </dxf>
    <dxf>
      <numFmt numFmtId="164" formatCode="_-* #,##0_-;\-* #,##0_-;_-* &quot;-&quot;??_-;_-@_-"/>
    </dxf>
    <dxf>
      <alignment horizontal="center" readingOrder="0"/>
    </dxf>
    <dxf>
      <alignment horizontal="center" readingOrder="0"/>
    </dxf>
    <dxf>
      <numFmt numFmtId="164" formatCode="_-* #,##0_-;\-* #,##0_-;_-* &quot;-&quot;??_-;_-@_-"/>
    </dxf>
    <dxf>
      <alignment horizontal="center" readingOrder="0"/>
    </dxf>
    <dxf>
      <alignment horizontal="center" readingOrder="0"/>
    </dxf>
    <dxf>
      <numFmt numFmtId="164" formatCode="_-* #,##0_-;\-* #,##0_-;_-* &quot;-&quot;??_-;_-@_-"/>
    </dxf>
    <dxf>
      <alignment horizontal="center" readingOrder="0"/>
    </dxf>
    <dxf>
      <alignment wrapText="1" readingOrder="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Christine.Bajcar/Local%20Settings/Temporary%20Internet%20Files/Content.Outlook/0JF0OSA8/CARD%20Circ%20Backup%20File%20for%20CMDC%20Digest%202010-11%20WI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ership chart PMB"/>
      <sheetName val="Circ by City Size"/>
      <sheetName val="Totals &amp; HH Pen"/>
      <sheetName val="Circ by Group-Region-chart"/>
      <sheetName val="Sorted by Pop Group"/>
      <sheetName val="Sorted by Region"/>
      <sheetName val="Cost-Format 10-all"/>
      <sheetName val="Cost-Format from CARD"/>
      <sheetName val="Cost-Format 10-a vs 09"/>
      <sheetName val="09CNA Circ"/>
      <sheetName val="Year by year "/>
      <sheetName val="compare 09 vs 10 paper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Kelly Levson" refreshedDate="42275.339616666664" createdVersion="4" refreshedVersion="4" minRefreshableVersion="3" recordCount="104">
  <cacheSource type="worksheet">
    <worksheetSource ref="A3:BD107" sheet="2014 Circulation by Title"/>
  </cacheSource>
  <cacheFields count="56">
    <cacheField name="Newspaper" numFmtId="0">
      <sharedItems count="104">
        <s v="Calgary Herald"/>
        <s v="The Calgary Sun ~"/>
        <s v="Metro Calgary"/>
        <s v="The Edmonton Journal"/>
        <s v="The Edmonton Sun ~"/>
        <s v="Metro Edmonton"/>
        <s v="Fort McMurray Today ~"/>
        <s v="Daily Herald-Tribune ~"/>
        <s v="Lethbridge Herald"/>
        <s v="Medicine Hat News"/>
        <s v="Red Deer Advocate"/>
        <s v="Cranbrook Daily Townsman^^"/>
        <s v="Alaska Highway News"/>
        <s v="The Courier (Kelowna)"/>
        <s v="The Daily Bulletin (Kimberley)"/>
        <s v="Nanaimo Daily News ^^"/>
        <s v="Penticton Herald"/>
        <s v="Alberni Valley Times"/>
        <s v="Prince George Citizen^^"/>
        <s v="The Trail Times"/>
        <s v="The Province"/>
        <s v="The Vancouver Sun"/>
        <s v="Epoch Times (Vancouver)^"/>
        <s v="Metro Vancouver"/>
        <s v="24 Hours Vancouver ~"/>
        <s v="Times Colonist"/>
        <s v="Brandon Sun"/>
        <s v="Winnipeg Free Press"/>
        <s v="Winnipeg Sun ~"/>
        <s v="Metro Winnipeg"/>
        <s v="L'Acadie Nouvelle"/>
        <s v="The Daily Gleaner"/>
        <s v="Times-Transcript"/>
        <s v="NB Telegraph Journal"/>
        <s v="The Western Star"/>
        <s v="The Telegram"/>
        <s v="The Chronicle-Herald"/>
        <s v="Metro Halifax"/>
        <s v="The News (New Glasgow)"/>
        <s v="Cape Breton Post"/>
        <s v="The Daily News (Truro)"/>
        <s v="The Barrie Examiner^^ ~"/>
        <s v="The Intelligencer ~"/>
        <s v="The Expositor ~"/>
        <s v="Brockville Recorder and Times^^ ~"/>
        <s v="The Chatham Daily News ~"/>
        <s v="Northumberland Today^^ ~"/>
        <s v="Standard-Freeholder ~"/>
        <s v="Fort Frances Daily Bulletin"/>
        <s v="Guelph Mercury"/>
        <s v="The Spectator"/>
        <s v="Daily Miner and News ~"/>
        <s v="The Kingston Whig-Standard ~"/>
        <s v="The London Free Press ~"/>
        <s v="The Globe and Mail"/>
        <s v="National Post"/>
        <s v="Niagara Falls Review ~"/>
        <s v="The North Bay Nugget ~"/>
        <s v="The Packet &amp; Times ~"/>
        <s v="Ottawa Citizen"/>
        <s v="Le Droit"/>
        <s v="The Ottawa Sun ~"/>
        <s v="Metro Ottawa"/>
        <s v="The Sun Times^^ ~"/>
        <s v="The Daily Observer(Pembroke)~"/>
        <s v="The Peterborough Examiner ~"/>
        <s v="The Observer (Sarnia) ~"/>
        <s v="The Sault Star ~"/>
        <s v="The Simcoe Reformer^^ ~"/>
        <s v="The Standard ~"/>
        <s v="St. Thomas Times-Journal ~"/>
        <s v="The Beacon Herald ~"/>
        <s v="The Sudbury Star ~"/>
        <s v="The Chronicle-Journal"/>
        <s v="The Daily Press (Timmins) ~"/>
        <s v="The Toronto Sun ~"/>
        <s v="Toronto Star"/>
        <s v="Epoch Times (Toronto)"/>
        <s v="Metro Toronto"/>
        <s v="24 Hours Toronto ~"/>
        <s v="Waterloo Region Record "/>
        <s v="The Tribune (Welland) ~"/>
        <s v="The Windsor Star"/>
        <s v="The Sentinel-Review ~"/>
        <s v="The Guardian"/>
        <s v="The Journal-Pioneer"/>
        <s v="Le Quotidien"/>
        <s v="La Voix de l'Est"/>
        <s v="Le Devoir"/>
        <s v="The Gazette"/>
        <s v="La Presse"/>
        <s v="Le Journal de Montréal"/>
        <s v="Montreal 24 heures"/>
        <s v="Journal Metro"/>
        <s v="Le Soleil"/>
        <s v="Le Journal de Québec"/>
        <s v="The Record (Sherbrooke)"/>
        <s v="La Tribune"/>
        <s v="Le Nouvelliste"/>
        <s v="The Times-Herald"/>
        <s v="Prince Albert Daily Herald"/>
        <s v="The Leader-Post"/>
        <s v="The StarPhoenix"/>
        <s v="The Whitehorse Star"/>
      </sharedItems>
    </cacheField>
    <cacheField name="Language" numFmtId="0">
      <sharedItems/>
    </cacheField>
    <cacheField name="Region" numFmtId="0">
      <sharedItems/>
    </cacheField>
    <cacheField name="Prov" numFmtId="0">
      <sharedItems count="11">
        <s v="AB"/>
        <s v="BC"/>
        <s v="MB"/>
        <s v="NB"/>
        <s v="NL"/>
        <s v="NS"/>
        <s v="ON"/>
        <s v="PE"/>
        <s v="QC"/>
        <s v="SK"/>
        <s v="YK"/>
      </sharedItems>
    </cacheField>
    <cacheField name="Market" numFmtId="0">
      <sharedItems/>
    </cacheField>
    <cacheField name="Population (2011 Census)" numFmtId="0">
      <sharedItems containsString="0" containsBlank="1" containsNumber="1" containsInteger="1" minValue="4276" maxValue="5941500"/>
    </cacheField>
    <cacheField name="Market Size / Population" numFmtId="0">
      <sharedItems/>
    </cacheField>
    <cacheField name="Format" numFmtId="0">
      <sharedItems count="2">
        <s v="b/sheet"/>
        <s v="tabloid"/>
      </sharedItems>
    </cacheField>
    <cacheField name="Columns" numFmtId="0">
      <sharedItems containsString="0" containsBlank="1" containsNumber="1" containsInteger="1" minValue="5" maxValue="12"/>
    </cacheField>
    <cacheField name="Lines" numFmtId="0">
      <sharedItems containsString="0" containsBlank="1" containsNumber="1" containsInteger="1" minValue="160" maxValue="310"/>
    </cacheField>
    <cacheField name="Total Lines" numFmtId="0">
      <sharedItems containsSemiMixedTypes="0" containsString="0" containsNumber="1" containsInteger="1" minValue="0" maxValue="3480"/>
    </cacheField>
    <cacheField name="Paywall" numFmtId="0">
      <sharedItems containsBlank="1"/>
    </cacheField>
    <cacheField name="Paid/Free" numFmtId="0">
      <sharedItems count="2">
        <s v="Paid"/>
        <s v="Free"/>
      </sharedItems>
    </cacheField>
    <cacheField name="Publication" numFmtId="0">
      <sharedItems containsBlank="1"/>
    </cacheField>
    <cacheField name="Freq." numFmtId="0">
      <sharedItems/>
    </cacheField>
    <cacheField name="Owner" numFmtId="0">
      <sharedItems/>
    </cacheField>
    <cacheField name="Audit Basis" numFmtId="0">
      <sharedItems/>
    </cacheField>
    <cacheField name="Avg Wkday" numFmtId="0">
      <sharedItems containsString="0" containsBlank="1" containsNumber="1" minValue="1365" maxValue="248342"/>
    </cacheField>
    <cacheField name="Sat" numFmtId="0">
      <sharedItems containsString="0" containsBlank="1" containsNumber="1" containsInteger="1" minValue="4032" maxValue="314828"/>
    </cacheField>
    <cacheField name="Sun" numFmtId="0">
      <sharedItems containsString="0" containsBlank="1" containsNumber="1" containsInteger="1" minValue="4842" maxValue="88378"/>
    </cacheField>
    <cacheField name="Avg Wkday2" numFmtId="0">
      <sharedItems containsString="0" containsBlank="1" containsNumber="1" containsInteger="1" minValue="0" maxValue="138843"/>
    </cacheField>
    <cacheField name="Sat2" numFmtId="0">
      <sharedItems containsString="0" containsBlank="1" containsNumber="1" containsInteger="1" minValue="82" maxValue="145050"/>
    </cacheField>
    <cacheField name="Sun2" numFmtId="0">
      <sharedItems containsString="0" containsBlank="1" containsNumber="1" containsInteger="1" minValue="345" maxValue="59724"/>
    </cacheField>
    <cacheField name="Avg Wkday3" numFmtId="0">
      <sharedItems containsString="0" containsBlank="1" containsNumber="1" minValue="1792" maxValue="347524"/>
    </cacheField>
    <cacheField name="Sat3" numFmtId="0">
      <sharedItems containsString="0" containsBlank="1" containsNumber="1" containsInteger="1" minValue="0" maxValue="413791"/>
    </cacheField>
    <cacheField name="Sun3" numFmtId="0">
      <sharedItems containsString="0" containsBlank="1" containsNumber="1" containsInteger="1" minValue="0" maxValue="148102"/>
    </cacheField>
    <cacheField name="Avg Wkday4" numFmtId="0">
      <sharedItems containsString="0" containsBlank="1" containsNumber="1" minValue="0" maxValue="133978"/>
    </cacheField>
    <cacheField name="Sat4" numFmtId="0">
      <sharedItems containsString="0" containsBlank="1" containsNumber="1" containsInteger="1" minValue="0" maxValue="138466"/>
    </cacheField>
    <cacheField name="Sun4" numFmtId="0">
      <sharedItems containsString="0" containsBlank="1" containsNumber="1" containsInteger="1" minValue="0" maxValue="52119"/>
    </cacheField>
    <cacheField name="Avg Wkday5" numFmtId="0">
      <sharedItems containsString="0" containsBlank="1" containsNumber="1" minValue="1379" maxValue="239700"/>
    </cacheField>
    <cacheField name="Sat5" numFmtId="0">
      <sharedItems containsString="0" containsBlank="1" containsNumber="1" containsInteger="1" minValue="0" maxValue="310902"/>
    </cacheField>
    <cacheField name="Sun5" numFmtId="0">
      <sharedItems containsString="0" containsBlank="1" containsNumber="1" containsInteger="1" minValue="0" maxValue="85484"/>
    </cacheField>
    <cacheField name="Avg Wkday6" numFmtId="0">
      <sharedItems containsString="0" containsBlank="1" containsNumber="1" minValue="14" maxValue="153497"/>
    </cacheField>
    <cacheField name="Sat6" numFmtId="0">
      <sharedItems containsString="0" containsBlank="1" containsNumber="1" containsInteger="1" minValue="0" maxValue="168850"/>
    </cacheField>
    <cacheField name="Sun6" numFmtId="0">
      <sharedItems containsString="0" containsBlank="1" containsNumber="1" containsInteger="1" minValue="0" maxValue="44397"/>
    </cacheField>
    <cacheField name="Avg Wkday7" numFmtId="0">
      <sharedItems containsString="0" containsBlank="1" containsNumber="1" minValue="0" maxValue="345562"/>
    </cacheField>
    <cacheField name="Sat7" numFmtId="0">
      <sharedItems containsString="0" containsBlank="1" containsNumber="1" containsInteger="1" minValue="0" maxValue="419027"/>
    </cacheField>
    <cacheField name="Sun7" numFmtId="0">
      <sharedItems containsString="0" containsBlank="1" containsNumber="1" containsInteger="1" minValue="0" maxValue="129881"/>
    </cacheField>
    <cacheField name="Avg Wkday8" numFmtId="0">
      <sharedItems containsString="0" containsBlank="1" containsNumber="1" minValue="0" maxValue="158491"/>
    </cacheField>
    <cacheField name="Sat8" numFmtId="0">
      <sharedItems containsString="0" containsBlank="1" containsNumber="1" containsInteger="1" minValue="72" maxValue="168213"/>
    </cacheField>
    <cacheField name="Sun8" numFmtId="0">
      <sharedItems containsString="0" containsBlank="1" containsNumber="1" containsInteger="1" minValue="84" maxValue="37927"/>
    </cacheField>
    <cacheField name="Avg Wkday9" numFmtId="0">
      <sharedItems containsString="0" containsBlank="1" containsNumber="1" minValue="1183" maxValue="244021"/>
    </cacheField>
    <cacheField name="Sat9" numFmtId="0">
      <sharedItems containsString="0" containsBlank="1" containsNumber="1" minValue="3293" maxValue="339851"/>
    </cacheField>
    <cacheField name="Sun9" numFmtId="0">
      <sharedItems containsString="0" containsBlank="1" containsNumber="1" minValue="5003.5" maxValue="247435"/>
    </cacheField>
    <cacheField name="Avg Wkday10" numFmtId="164">
      <sharedItems containsString="0" containsBlank="1" containsNumber="1" minValue="9" maxValue="220777.2"/>
    </cacheField>
    <cacheField name="Sat10" numFmtId="164">
      <sharedItems containsString="0" containsBlank="1" containsNumber="1" minValue="52" maxValue="156950"/>
    </cacheField>
    <cacheField name="Sun10" numFmtId="164">
      <sharedItems containsString="0" containsBlank="1" containsNumber="1" minValue="0" maxValue="67116"/>
    </cacheField>
    <cacheField name="Avg Wkday11" numFmtId="164">
      <sharedItems containsSemiMixedTypes="0" containsString="0" containsNumber="1" minValue="1798.5" maxValue="346543"/>
    </cacheField>
    <cacheField name="Sat11" numFmtId="164">
      <sharedItems containsString="0" containsBlank="1" containsNumber="1" minValue="3293" maxValue="440442"/>
    </cacheField>
    <cacheField name="Sun11" numFmtId="164">
      <sharedItems containsString="0" containsBlank="1" containsNumber="1" minValue="5220" maxValue="293249"/>
    </cacheField>
    <cacheField name="Avg Wkday12" numFmtId="0">
      <sharedItems containsString="0" containsBlank="1" containsNumber="1" minValue="12" maxValue="143318"/>
    </cacheField>
    <cacheField name="Sat12" numFmtId="0">
      <sharedItems containsString="0" containsBlank="1" containsNumber="1" minValue="15" maxValue="153339.5"/>
    </cacheField>
    <cacheField name="Sun12" numFmtId="0">
      <sharedItems containsString="0" containsBlank="1" containsNumber="1" minValue="91.5" maxValue="61326"/>
    </cacheField>
    <cacheField name="Weekly Total (Print/Digital)" numFmtId="164">
      <sharedItems containsSemiMixedTypes="0" containsString="0" containsNumber="1" minValue="8308" maxValue="2397691"/>
    </cacheField>
    <cacheField name="Daily Avg. (Print/Digital)" numFmtId="164">
      <sharedItems containsSemiMixedTypes="0" containsString="0" containsNumber="1" minValue="1186.8571428571429" maxValue="358187.33333333331"/>
    </cacheField>
    <cacheField name="Total Weekly Digital ONLY*" numFmtId="164">
      <sharedItems containsSemiMixedTypes="0" containsString="0" containsNumber="1" minValue="0" maxValue="869929.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4">
  <r>
    <x v="0"/>
    <s v="English"/>
    <s v="Prairies"/>
    <x v="0"/>
    <s v="Calgary"/>
    <n v="1309200"/>
    <s v="1M+"/>
    <x v="0"/>
    <n v="10"/>
    <n v="310"/>
    <n v="3100"/>
    <s v="May 2013"/>
    <x v="0"/>
    <s v="Morning"/>
    <s v="M-Sa"/>
    <s v="Postmedia Network Inc."/>
    <s v="AAM"/>
    <n v="62968"/>
    <n v="69076"/>
    <m/>
    <n v="56649"/>
    <n v="48901"/>
    <m/>
    <n v="119617"/>
    <n v="117977"/>
    <m/>
    <n v="58224"/>
    <n v="51001"/>
    <m/>
    <n v="62979"/>
    <n v="65954"/>
    <m/>
    <n v="45103"/>
    <n v="37591"/>
    <m/>
    <n v="108082"/>
    <n v="103545"/>
    <n v="0"/>
    <n v="50508"/>
    <n v="42409"/>
    <m/>
    <n v="62973.5"/>
    <n v="67515"/>
    <m/>
    <n v="50876"/>
    <n v="43246"/>
    <m/>
    <n v="113849.5"/>
    <n v="110761"/>
    <m/>
    <n v="54366"/>
    <n v="46705"/>
    <m/>
    <n v="680008.5"/>
    <n v="113334.75"/>
    <n v="318535"/>
  </r>
  <r>
    <x v="1"/>
    <s v="English"/>
    <s v="Prairies"/>
    <x v="0"/>
    <s v="Calgary"/>
    <n v="1309200"/>
    <s v="1M+"/>
    <x v="1"/>
    <n v="10"/>
    <n v="160"/>
    <n v="1600"/>
    <s v="Dec 2012"/>
    <x v="0"/>
    <s v="Morning"/>
    <s v="M-Su"/>
    <s v="Quebecor/Sun Media"/>
    <s v="CCAB"/>
    <m/>
    <m/>
    <m/>
    <m/>
    <m/>
    <m/>
    <m/>
    <m/>
    <m/>
    <m/>
    <m/>
    <m/>
    <m/>
    <m/>
    <m/>
    <m/>
    <m/>
    <m/>
    <n v="0"/>
    <n v="0"/>
    <n v="0"/>
    <m/>
    <m/>
    <m/>
    <n v="25403"/>
    <n v="28708"/>
    <n v="39604"/>
    <n v="18331"/>
    <n v="16776"/>
    <n v="16080"/>
    <n v="43734"/>
    <n v="45484"/>
    <n v="55684"/>
    <n v="6505"/>
    <n v="6281"/>
    <n v="6304"/>
    <n v="319838"/>
    <n v="45691.142857142855"/>
    <n v="45110"/>
  </r>
  <r>
    <x v="2"/>
    <s v="English"/>
    <s v="Prairies"/>
    <x v="0"/>
    <s v="Calgary"/>
    <n v="1309200"/>
    <s v="1M+"/>
    <x v="1"/>
    <n v="6"/>
    <n v="175"/>
    <n v="1050"/>
    <m/>
    <x v="1"/>
    <s v="Morning"/>
    <s v="M-F"/>
    <s v="Metro Intl.SA &amp; TorStar"/>
    <s v="CCAB"/>
    <m/>
    <m/>
    <m/>
    <m/>
    <m/>
    <m/>
    <m/>
    <m/>
    <m/>
    <m/>
    <m/>
    <m/>
    <m/>
    <m/>
    <m/>
    <m/>
    <m/>
    <m/>
    <m/>
    <m/>
    <m/>
    <m/>
    <m/>
    <m/>
    <m/>
    <m/>
    <m/>
    <n v="63056.800000000003"/>
    <m/>
    <m/>
    <n v="63056.800000000003"/>
    <m/>
    <m/>
    <m/>
    <m/>
    <m/>
    <n v="315284"/>
    <n v="63056.800000000003"/>
    <n v="0"/>
  </r>
  <r>
    <x v="3"/>
    <s v="English"/>
    <s v="Prairies"/>
    <x v="0"/>
    <s v="Edmonton"/>
    <n v="1230100"/>
    <s v="1M+"/>
    <x v="0"/>
    <n v="10"/>
    <n v="310"/>
    <n v="3100"/>
    <s v="May 2013"/>
    <x v="0"/>
    <s v="Morning"/>
    <s v="M-Sa"/>
    <s v="Postmedia Network Inc."/>
    <s v="AAM"/>
    <n v="62831"/>
    <n v="69298"/>
    <m/>
    <n v="38317"/>
    <n v="35367"/>
    <m/>
    <n v="101148"/>
    <n v="104665"/>
    <m/>
    <n v="38637"/>
    <n v="36677"/>
    <m/>
    <n v="62597"/>
    <n v="68558"/>
    <n v="0"/>
    <n v="34342"/>
    <n v="31919"/>
    <n v="0"/>
    <n v="96939"/>
    <n v="100477"/>
    <n v="0"/>
    <n v="36371"/>
    <n v="34366"/>
    <m/>
    <n v="62714"/>
    <n v="68928"/>
    <m/>
    <n v="36329.5"/>
    <n v="33643"/>
    <m/>
    <n v="99043.5"/>
    <n v="102571"/>
    <m/>
    <n v="37504"/>
    <n v="35521.5"/>
    <m/>
    <n v="597788.5"/>
    <n v="99631.416666666672"/>
    <n v="223041.5"/>
  </r>
  <r>
    <x v="4"/>
    <s v="English"/>
    <s v="Prairies"/>
    <x v="0"/>
    <s v="Edmonton"/>
    <n v="1230100"/>
    <s v="1M+"/>
    <x v="1"/>
    <n v="10"/>
    <n v="160"/>
    <n v="1600"/>
    <s v="Dec 2012"/>
    <x v="0"/>
    <s v="Morning"/>
    <s v="M-Su"/>
    <s v="Quebecor/Sun Media"/>
    <s v="CCAB"/>
    <m/>
    <m/>
    <m/>
    <m/>
    <m/>
    <m/>
    <m/>
    <m/>
    <m/>
    <m/>
    <m/>
    <m/>
    <m/>
    <m/>
    <m/>
    <m/>
    <m/>
    <m/>
    <n v="0"/>
    <n v="0"/>
    <n v="0"/>
    <m/>
    <m/>
    <m/>
    <n v="30305"/>
    <n v="30920"/>
    <n v="41754"/>
    <n v="9613"/>
    <n v="6828"/>
    <n v="7601"/>
    <n v="39918"/>
    <n v="37748"/>
    <n v="49355"/>
    <n v="5649"/>
    <n v="5529"/>
    <n v="5478"/>
    <n v="286693"/>
    <n v="40956.142857142855"/>
    <n v="39252"/>
  </r>
  <r>
    <x v="5"/>
    <s v="English"/>
    <s v="Prairies"/>
    <x v="0"/>
    <s v="Edmonton"/>
    <n v="1230100"/>
    <s v="1M+"/>
    <x v="1"/>
    <n v="6"/>
    <n v="175"/>
    <n v="1050"/>
    <m/>
    <x v="1"/>
    <s v="Morning"/>
    <s v="M-F"/>
    <s v="Metro Intl.SA &amp; TorStar"/>
    <s v="CCAB"/>
    <m/>
    <m/>
    <m/>
    <m/>
    <m/>
    <m/>
    <m/>
    <m/>
    <m/>
    <m/>
    <m/>
    <m/>
    <m/>
    <m/>
    <m/>
    <m/>
    <m/>
    <m/>
    <m/>
    <m/>
    <m/>
    <m/>
    <m/>
    <m/>
    <m/>
    <m/>
    <m/>
    <n v="61434.400000000001"/>
    <m/>
    <m/>
    <n v="61434.400000000001"/>
    <m/>
    <m/>
    <m/>
    <m/>
    <m/>
    <n v="307172"/>
    <n v="61434.400000000001"/>
    <n v="0"/>
  </r>
  <r>
    <x v="6"/>
    <s v="English"/>
    <s v="Prairies"/>
    <x v="0"/>
    <s v="Fort McMurray"/>
    <n v="61374"/>
    <s v="50K-100K"/>
    <x v="1"/>
    <n v="10"/>
    <n v="160"/>
    <n v="1600"/>
    <m/>
    <x v="0"/>
    <s v="Evening"/>
    <s v="M-F"/>
    <s v="Quebecor/Sun Media"/>
    <s v="AAM"/>
    <n v="1975"/>
    <m/>
    <m/>
    <n v="13"/>
    <m/>
    <m/>
    <n v="1988"/>
    <n v="0"/>
    <n v="0"/>
    <m/>
    <m/>
    <m/>
    <n v="1801"/>
    <n v="0"/>
    <n v="0"/>
    <n v="14"/>
    <n v="0"/>
    <n v="0"/>
    <n v="1815"/>
    <n v="0"/>
    <n v="0"/>
    <n v="0"/>
    <m/>
    <m/>
    <n v="1888"/>
    <m/>
    <m/>
    <n v="13.5"/>
    <m/>
    <m/>
    <n v="1901.5"/>
    <m/>
    <m/>
    <m/>
    <m/>
    <m/>
    <n v="9507.5"/>
    <n v="1901.5"/>
    <n v="0"/>
  </r>
  <r>
    <x v="7"/>
    <s v="English"/>
    <s v="Prairies"/>
    <x v="0"/>
    <s v="Grande Prairie"/>
    <n v="55032"/>
    <s v="50K-100K"/>
    <x v="1"/>
    <n v="10"/>
    <n v="160"/>
    <n v="1600"/>
    <m/>
    <x v="0"/>
    <s v="Evening"/>
    <s v="M-F"/>
    <s v="Quebecor/Sun Media"/>
    <s v="AAM"/>
    <n v="3804"/>
    <m/>
    <m/>
    <n v="34"/>
    <m/>
    <m/>
    <n v="3838"/>
    <n v="0"/>
    <n v="0"/>
    <m/>
    <m/>
    <m/>
    <n v="3590"/>
    <n v="0"/>
    <n v="0"/>
    <n v="28"/>
    <n v="0"/>
    <n v="0"/>
    <n v="3618"/>
    <n v="0"/>
    <n v="0"/>
    <n v="0"/>
    <m/>
    <m/>
    <n v="3697"/>
    <m/>
    <m/>
    <n v="31"/>
    <m/>
    <m/>
    <n v="3728"/>
    <m/>
    <m/>
    <m/>
    <m/>
    <m/>
    <n v="18640"/>
    <n v="3728"/>
    <n v="0"/>
  </r>
  <r>
    <x v="8"/>
    <s v="English"/>
    <s v="Prairies"/>
    <x v="0"/>
    <s v="Lethbridge"/>
    <n v="105999"/>
    <s v="100K-500K"/>
    <x v="0"/>
    <n v="10"/>
    <n v="301"/>
    <n v="3010"/>
    <s v="June 2013"/>
    <x v="0"/>
    <s v="Morning"/>
    <s v="M-Su"/>
    <s v="Glacier/AB Newspaper Group"/>
    <s v="AAM"/>
    <n v="13673"/>
    <n v="12958"/>
    <n v="11628"/>
    <n v="3228"/>
    <n v="2535"/>
    <n v="476"/>
    <n v="16901"/>
    <n v="15493"/>
    <n v="12104"/>
    <n v="312"/>
    <n v="310"/>
    <n v="312"/>
    <n v="11375"/>
    <n v="11587"/>
    <n v="10557"/>
    <n v="7577"/>
    <n v="1599"/>
    <n v="1278"/>
    <n v="18952"/>
    <n v="13186"/>
    <n v="11835"/>
    <n v="340"/>
    <n v="340"/>
    <n v="341"/>
    <n v="12524"/>
    <n v="12272.5"/>
    <n v="11092.5"/>
    <n v="5402.5"/>
    <n v="2067"/>
    <n v="877"/>
    <n v="17926.5"/>
    <n v="14339.5"/>
    <n v="11969.5"/>
    <n v="326"/>
    <n v="325"/>
    <n v="326.5"/>
    <n v="115941.5"/>
    <n v="16563.071428571428"/>
    <n v="2281.5"/>
  </r>
  <r>
    <x v="9"/>
    <s v="English"/>
    <s v="Prairies"/>
    <x v="0"/>
    <s v="Medicine Hat"/>
    <n v="72807"/>
    <s v="50K-100K"/>
    <x v="0"/>
    <n v="10"/>
    <n v="302"/>
    <n v="3020"/>
    <s v="April 2013"/>
    <x v="0"/>
    <s v="Evening"/>
    <s v="M-Sa"/>
    <s v="Glacier/AB Newspaper Group"/>
    <s v="AAM"/>
    <n v="9128"/>
    <n v="9128"/>
    <m/>
    <n v="1429"/>
    <n v="1429"/>
    <m/>
    <n v="10557"/>
    <n v="10557"/>
    <m/>
    <n v="187"/>
    <n v="187"/>
    <m/>
    <n v="9372"/>
    <n v="9372"/>
    <n v="0"/>
    <n v="4717"/>
    <n v="4717"/>
    <n v="0"/>
    <n v="14089"/>
    <n v="14089"/>
    <n v="0"/>
    <n v="193"/>
    <n v="193"/>
    <m/>
    <n v="9250"/>
    <n v="9250"/>
    <m/>
    <n v="3073"/>
    <n v="3073"/>
    <m/>
    <n v="12323"/>
    <n v="12323"/>
    <m/>
    <n v="190"/>
    <n v="190"/>
    <m/>
    <n v="73938"/>
    <n v="12323"/>
    <n v="1140"/>
  </r>
  <r>
    <x v="10"/>
    <s v="English"/>
    <s v="Prairies"/>
    <x v="0"/>
    <s v="Red Deer"/>
    <n v="90564"/>
    <s v="50K-100K"/>
    <x v="0"/>
    <n v="6"/>
    <n v="300"/>
    <n v="1800"/>
    <s v="June 2011"/>
    <x v="0"/>
    <s v="Evening"/>
    <s v="M-Sa"/>
    <s v="Black Press"/>
    <s v="AAM"/>
    <n v="10150"/>
    <n v="10432"/>
    <m/>
    <n v="1163"/>
    <n v="651"/>
    <m/>
    <n v="11313"/>
    <n v="11083"/>
    <m/>
    <n v="66"/>
    <n v="66"/>
    <m/>
    <n v="10001"/>
    <n v="10261"/>
    <n v="0"/>
    <n v="789"/>
    <n v="568"/>
    <n v="0"/>
    <n v="10790"/>
    <n v="10829"/>
    <n v="0"/>
    <n v="73"/>
    <n v="72"/>
    <m/>
    <n v="10075.5"/>
    <n v="10346.5"/>
    <m/>
    <n v="976"/>
    <n v="609.5"/>
    <m/>
    <n v="11051.5"/>
    <n v="10956"/>
    <m/>
    <n v="69.5"/>
    <n v="69"/>
    <m/>
    <n v="66213.5"/>
    <n v="11035.583333333334"/>
    <n v="416.5"/>
  </r>
  <r>
    <x v="11"/>
    <s v="English"/>
    <s v="BC &amp; Yukon"/>
    <x v="1"/>
    <s v="Cranbrook"/>
    <n v="25037"/>
    <s v="&lt;50K"/>
    <x v="1"/>
    <n v="7"/>
    <n v="196"/>
    <n v="1372"/>
    <s v="Feb 2012"/>
    <x v="0"/>
    <s v="Evening"/>
    <s v="M-F"/>
    <s v="Black Press"/>
    <s v="CMCA"/>
    <m/>
    <m/>
    <m/>
    <m/>
    <m/>
    <m/>
    <m/>
    <m/>
    <m/>
    <m/>
    <m/>
    <m/>
    <m/>
    <m/>
    <m/>
    <m/>
    <m/>
    <m/>
    <n v="0"/>
    <n v="0"/>
    <n v="0"/>
    <m/>
    <m/>
    <m/>
    <n v="2926"/>
    <m/>
    <m/>
    <m/>
    <m/>
    <n v="9204"/>
    <n v="2926"/>
    <m/>
    <n v="9204"/>
    <m/>
    <m/>
    <m/>
    <n v="23834"/>
    <n v="4766.8"/>
    <n v="0"/>
  </r>
  <r>
    <x v="12"/>
    <s v="English"/>
    <s v="BC &amp; Yukon"/>
    <x v="1"/>
    <s v="Fort St. John"/>
    <n v="26380"/>
    <s v="&lt;50K"/>
    <x v="0"/>
    <n v="10"/>
    <n v="300"/>
    <n v="3000"/>
    <m/>
    <x v="0"/>
    <s v="Evening"/>
    <s v="M-F"/>
    <s v="Glacier Media"/>
    <s v="CMCA"/>
    <m/>
    <m/>
    <m/>
    <m/>
    <m/>
    <m/>
    <m/>
    <m/>
    <m/>
    <m/>
    <m/>
    <m/>
    <m/>
    <m/>
    <m/>
    <m/>
    <m/>
    <m/>
    <n v="0"/>
    <n v="0"/>
    <n v="0"/>
    <m/>
    <m/>
    <m/>
    <n v="2143"/>
    <m/>
    <m/>
    <m/>
    <m/>
    <m/>
    <n v="2143"/>
    <m/>
    <m/>
    <m/>
    <m/>
    <m/>
    <n v="10715"/>
    <n v="2143"/>
    <n v="0"/>
  </r>
  <r>
    <x v="13"/>
    <s v="English"/>
    <s v="BC &amp; Yukon"/>
    <x v="1"/>
    <s v="Kelowna"/>
    <n v="184700"/>
    <s v="100K-500K"/>
    <x v="0"/>
    <n v="10"/>
    <n v="301"/>
    <n v="3010"/>
    <m/>
    <x v="0"/>
    <s v="Morning"/>
    <s v="M-Su"/>
    <s v="Continental Newspapers"/>
    <s v="AAM"/>
    <n v="8812"/>
    <n v="9055"/>
    <n v="8721"/>
    <n v="1754"/>
    <n v="1502"/>
    <n v="1499"/>
    <n v="10566"/>
    <n v="10557"/>
    <n v="10220"/>
    <n v="107"/>
    <n v="107"/>
    <m/>
    <n v="8828"/>
    <n v="9015"/>
    <n v="8756"/>
    <n v="1648"/>
    <n v="1521"/>
    <n v="1518"/>
    <n v="10476"/>
    <n v="10536"/>
    <n v="10274"/>
    <n v="104"/>
    <n v="104"/>
    <n v="104"/>
    <n v="8820"/>
    <n v="9035"/>
    <n v="8738.5"/>
    <n v="1701"/>
    <n v="1511.5"/>
    <n v="1508.5"/>
    <n v="10521"/>
    <n v="10546.5"/>
    <n v="10247"/>
    <n v="105.5"/>
    <n v="105.5"/>
    <n v="104"/>
    <n v="73398.5"/>
    <n v="10485.5"/>
    <n v="737"/>
  </r>
  <r>
    <x v="14"/>
    <s v="English"/>
    <s v="BC &amp; Yukon"/>
    <x v="1"/>
    <s v="Kimberley"/>
    <n v="6723"/>
    <s v="&lt;50K"/>
    <x v="1"/>
    <n v="7"/>
    <n v="196"/>
    <n v="1372"/>
    <s v="Feb 2012"/>
    <x v="0"/>
    <s v="Evening"/>
    <s v="M-F"/>
    <s v="Black Press"/>
    <s v="CMCA"/>
    <m/>
    <m/>
    <m/>
    <m/>
    <m/>
    <m/>
    <m/>
    <m/>
    <m/>
    <m/>
    <m/>
    <m/>
    <m/>
    <m/>
    <m/>
    <m/>
    <m/>
    <m/>
    <n v="0"/>
    <n v="0"/>
    <n v="0"/>
    <m/>
    <m/>
    <m/>
    <n v="1183"/>
    <m/>
    <m/>
    <n v="1860"/>
    <m/>
    <m/>
    <n v="3043"/>
    <m/>
    <m/>
    <n v="12"/>
    <m/>
    <m/>
    <n v="15215"/>
    <n v="3043"/>
    <n v="60"/>
  </r>
  <r>
    <x v="15"/>
    <s v="English"/>
    <s v="BC &amp; Yukon"/>
    <x v="1"/>
    <s v="Nanaimo"/>
    <n v="98021"/>
    <s v="50K-100K"/>
    <x v="0"/>
    <n v="10"/>
    <n v="301"/>
    <n v="3010"/>
    <m/>
    <x v="0"/>
    <s v="Morning"/>
    <s v="M-Sa"/>
    <s v="Glacier Media"/>
    <s v="AAM"/>
    <n v="4000.2"/>
    <n v="4032"/>
    <m/>
    <n v="593"/>
    <n v="593"/>
    <n v="29814"/>
    <n v="4593.2"/>
    <n v="4625"/>
    <n v="29814"/>
    <n v="0"/>
    <n v="0"/>
    <n v="0"/>
    <n v="3835.4"/>
    <n v="3857"/>
    <m/>
    <n v="626"/>
    <n v="626"/>
    <n v="30646"/>
    <n v="4461.3999999999996"/>
    <n v="4483"/>
    <n v="30646"/>
    <m/>
    <m/>
    <m/>
    <n v="3917.8"/>
    <n v="3944.5"/>
    <m/>
    <n v="609.5"/>
    <n v="609.5"/>
    <n v="30230"/>
    <n v="4527.2999999999993"/>
    <n v="4554"/>
    <n v="30230"/>
    <m/>
    <m/>
    <m/>
    <n v="57420.5"/>
    <n v="9570.0833333333339"/>
    <n v="0"/>
  </r>
  <r>
    <x v="16"/>
    <s v="English"/>
    <s v="BC &amp; Yukon"/>
    <x v="1"/>
    <s v="Penticton"/>
    <n v="42361"/>
    <s v="&lt;50K"/>
    <x v="0"/>
    <n v="10"/>
    <n v="301"/>
    <n v="3010"/>
    <m/>
    <x v="0"/>
    <s v="Morning"/>
    <s v="M-Su"/>
    <s v="Continental Newspapers"/>
    <s v="AAM"/>
    <n v="5216"/>
    <n v="5090"/>
    <n v="4842"/>
    <n v="382"/>
    <n v="388"/>
    <n v="345"/>
    <n v="5598"/>
    <n v="5478"/>
    <n v="5187"/>
    <n v="100"/>
    <n v="99"/>
    <n v="99"/>
    <n v="5583"/>
    <n v="5417"/>
    <n v="5165"/>
    <n v="88"/>
    <n v="88"/>
    <n v="88"/>
    <n v="5671"/>
    <n v="5505"/>
    <n v="5253"/>
    <n v="86"/>
    <n v="85"/>
    <n v="84"/>
    <n v="5399.5"/>
    <n v="5253.5"/>
    <n v="5003.5"/>
    <n v="235"/>
    <n v="238"/>
    <n v="216.5"/>
    <n v="5634.5"/>
    <n v="5491.5"/>
    <n v="5220"/>
    <n v="93"/>
    <n v="92"/>
    <n v="91.5"/>
    <n v="38884"/>
    <n v="5554.8571428571431"/>
    <n v="648.5"/>
  </r>
  <r>
    <x v="17"/>
    <s v="English"/>
    <s v="BC &amp; Yukon"/>
    <x v="1"/>
    <s v="Port Alberni"/>
    <n v="25465"/>
    <s v="&lt;50K"/>
    <x v="0"/>
    <n v="10"/>
    <n v="301"/>
    <n v="3010"/>
    <m/>
    <x v="0"/>
    <s v="Evening"/>
    <s v="M-F"/>
    <s v="Glacier Media"/>
    <s v="AAM"/>
    <n v="3190"/>
    <m/>
    <m/>
    <n v="17"/>
    <m/>
    <m/>
    <n v="3207"/>
    <n v="0"/>
    <n v="0"/>
    <m/>
    <m/>
    <m/>
    <n v="2985.2"/>
    <m/>
    <m/>
    <n v="3393.6"/>
    <m/>
    <m/>
    <n v="6378.7999999999993"/>
    <n v="0"/>
    <n v="0"/>
    <m/>
    <m/>
    <m/>
    <n v="3087.6"/>
    <m/>
    <m/>
    <n v="1705.3"/>
    <m/>
    <m/>
    <n v="4792.8999999999996"/>
    <m/>
    <m/>
    <m/>
    <m/>
    <m/>
    <n v="23964.5"/>
    <n v="4792.8999999999996"/>
    <n v="0"/>
  </r>
  <r>
    <x v="18"/>
    <s v="English"/>
    <s v="BC &amp; Yukon"/>
    <x v="1"/>
    <s v="Prince George"/>
    <n v="84232"/>
    <s v="50K-100K"/>
    <x v="0"/>
    <n v="10"/>
    <n v="301"/>
    <n v="3010"/>
    <m/>
    <x v="0"/>
    <s v="Morning"/>
    <s v="M-Sa"/>
    <s v="Glacier Media"/>
    <s v="AAM"/>
    <n v="9118.4"/>
    <n v="9452"/>
    <m/>
    <n v="82"/>
    <n v="82"/>
    <n v="14512"/>
    <n v="9200.4"/>
    <n v="9534"/>
    <n v="14512"/>
    <n v="157.19999999999999"/>
    <n v="159"/>
    <m/>
    <n v="8709.6"/>
    <n v="8986"/>
    <m/>
    <n v="65"/>
    <n v="65"/>
    <n v="14032"/>
    <n v="8774.6"/>
    <n v="9051"/>
    <n v="14032"/>
    <n v="156.19999999999999"/>
    <n v="156"/>
    <m/>
    <n v="8914"/>
    <n v="9219"/>
    <m/>
    <n v="73.5"/>
    <n v="73.5"/>
    <n v="14272"/>
    <n v="8987.5"/>
    <n v="9292.5"/>
    <n v="14272"/>
    <n v="156.69999999999999"/>
    <n v="157.5"/>
    <m/>
    <n v="68502"/>
    <n v="11417"/>
    <n v="941"/>
  </r>
  <r>
    <x v="19"/>
    <s v="English"/>
    <s v="BC &amp; Yukon"/>
    <x v="1"/>
    <s v="Trail"/>
    <n v="9276"/>
    <s v="&lt;50K"/>
    <x v="1"/>
    <n v="7"/>
    <n v="192"/>
    <n v="1344"/>
    <s v="March 2014"/>
    <x v="0"/>
    <s v="Evening"/>
    <s v="T-F"/>
    <s v="Black Press"/>
    <s v="CMCA"/>
    <m/>
    <m/>
    <m/>
    <m/>
    <m/>
    <m/>
    <m/>
    <m/>
    <m/>
    <m/>
    <m/>
    <m/>
    <m/>
    <m/>
    <m/>
    <m/>
    <m/>
    <m/>
    <n v="0"/>
    <n v="0"/>
    <n v="0"/>
    <m/>
    <m/>
    <m/>
    <n v="2722"/>
    <m/>
    <m/>
    <n v="9"/>
    <m/>
    <m/>
    <n v="2731"/>
    <m/>
    <m/>
    <n v="40"/>
    <m/>
    <m/>
    <n v="10924"/>
    <n v="2731"/>
    <n v="160"/>
  </r>
  <r>
    <x v="20"/>
    <s v="English"/>
    <s v="BC &amp; Yukon"/>
    <x v="1"/>
    <s v="Vancouver"/>
    <n v="2463700"/>
    <s v="1M+"/>
    <x v="1"/>
    <n v="9"/>
    <n v="165"/>
    <n v="1485"/>
    <s v="Aug 2012"/>
    <x v="0"/>
    <s v="Morning"/>
    <s v="Su-F"/>
    <s v="Postmedia Network Inc."/>
    <s v="AAM"/>
    <n v="69732"/>
    <m/>
    <n v="88378"/>
    <n v="64830"/>
    <m/>
    <n v="59724"/>
    <n v="134562"/>
    <m/>
    <n v="148102"/>
    <n v="54615"/>
    <m/>
    <n v="52119"/>
    <n v="67349"/>
    <m/>
    <n v="85484"/>
    <n v="46842"/>
    <m/>
    <n v="44397"/>
    <n v="114191"/>
    <n v="0"/>
    <n v="129881"/>
    <n v="39210"/>
    <m/>
    <n v="37927"/>
    <n v="68540.5"/>
    <m/>
    <n v="86931"/>
    <n v="55836"/>
    <m/>
    <n v="52060.5"/>
    <n v="124376.5"/>
    <m/>
    <n v="138991.5"/>
    <n v="46912.5"/>
    <m/>
    <n v="45023"/>
    <n v="760874"/>
    <n v="126812.33333333333"/>
    <n v="279585.5"/>
  </r>
  <r>
    <x v="21"/>
    <s v="English"/>
    <s v="BC &amp; Yukon"/>
    <x v="1"/>
    <s v="Vancouver"/>
    <n v="2463700"/>
    <s v="1M+"/>
    <x v="0"/>
    <n v="10"/>
    <n v="291"/>
    <n v="2910"/>
    <s v="Aug 2012"/>
    <x v="0"/>
    <s v="Morning"/>
    <s v="M-Sa"/>
    <s v="Postmedia Network Inc."/>
    <s v="AAM"/>
    <n v="87063"/>
    <n v="111556"/>
    <m/>
    <n v="66139"/>
    <n v="62332"/>
    <m/>
    <n v="153202"/>
    <n v="173888"/>
    <m/>
    <n v="65108"/>
    <n v="61861"/>
    <m/>
    <n v="85200"/>
    <n v="109934"/>
    <m/>
    <n v="44089"/>
    <n v="42865"/>
    <m/>
    <n v="129289"/>
    <n v="152799"/>
    <n v="0"/>
    <n v="46300"/>
    <n v="44152"/>
    <m/>
    <n v="86131.5"/>
    <n v="110745"/>
    <m/>
    <n v="55114"/>
    <n v="52598.5"/>
    <m/>
    <n v="141245.5"/>
    <n v="163343.5"/>
    <m/>
    <n v="55704"/>
    <n v="53006.5"/>
    <m/>
    <n v="869571"/>
    <n v="144928.5"/>
    <n v="331526.5"/>
  </r>
  <r>
    <x v="22"/>
    <s v="Chinese"/>
    <s v="BC &amp; Yukon"/>
    <x v="1"/>
    <s v="Vancouver"/>
    <n v="2463700"/>
    <s v="1M+"/>
    <x v="0"/>
    <n v="6"/>
    <m/>
    <n v="0"/>
    <m/>
    <x v="1"/>
    <s v="Morning"/>
    <s v="M-Su"/>
    <s v="Independent"/>
    <s v="PS"/>
    <m/>
    <m/>
    <m/>
    <m/>
    <m/>
    <m/>
    <m/>
    <m/>
    <m/>
    <m/>
    <m/>
    <m/>
    <m/>
    <m/>
    <m/>
    <m/>
    <m/>
    <m/>
    <m/>
    <m/>
    <m/>
    <m/>
    <m/>
    <m/>
    <m/>
    <m/>
    <m/>
    <n v="10100"/>
    <n v="7000"/>
    <n v="7000"/>
    <n v="10100"/>
    <n v="7000"/>
    <m/>
    <m/>
    <m/>
    <m/>
    <n v="57500"/>
    <n v="8214.2857142857138"/>
    <n v="0"/>
  </r>
  <r>
    <x v="23"/>
    <s v="English"/>
    <s v="BC &amp; Yukon"/>
    <x v="1"/>
    <s v="Vancouver"/>
    <n v="2463700"/>
    <s v="1M+"/>
    <x v="1"/>
    <n v="6"/>
    <n v="175"/>
    <n v="1050"/>
    <m/>
    <x v="1"/>
    <s v="Morning"/>
    <s v="M-F"/>
    <s v="Metro Intl.SA &amp; TorStar"/>
    <s v="CCAB"/>
    <m/>
    <m/>
    <m/>
    <m/>
    <m/>
    <m/>
    <m/>
    <m/>
    <m/>
    <m/>
    <m/>
    <m/>
    <m/>
    <m/>
    <m/>
    <m/>
    <m/>
    <m/>
    <m/>
    <m/>
    <m/>
    <m/>
    <m/>
    <m/>
    <m/>
    <m/>
    <m/>
    <n v="115683.8"/>
    <m/>
    <m/>
    <n v="115683.8"/>
    <m/>
    <m/>
    <m/>
    <m/>
    <m/>
    <n v="578419"/>
    <n v="115683.8"/>
    <n v="0"/>
  </r>
  <r>
    <x v="24"/>
    <s v="English"/>
    <s v="BC &amp; Yukon"/>
    <x v="1"/>
    <s v="Vancouver"/>
    <n v="2463700"/>
    <s v="1M+"/>
    <x v="1"/>
    <n v="6"/>
    <n v="160"/>
    <n v="960"/>
    <m/>
    <x v="1"/>
    <s v="Morning"/>
    <s v="M-F"/>
    <s v="Quebecor/Sun Media"/>
    <s v="CCAB"/>
    <m/>
    <m/>
    <m/>
    <m/>
    <m/>
    <m/>
    <m/>
    <m/>
    <m/>
    <m/>
    <m/>
    <m/>
    <m/>
    <m/>
    <m/>
    <m/>
    <m/>
    <m/>
    <m/>
    <m/>
    <m/>
    <m/>
    <m/>
    <m/>
    <m/>
    <m/>
    <m/>
    <n v="115177.8"/>
    <m/>
    <m/>
    <n v="115177.8"/>
    <m/>
    <m/>
    <m/>
    <m/>
    <m/>
    <n v="575889"/>
    <n v="115177.8"/>
    <n v="0"/>
  </r>
  <r>
    <x v="25"/>
    <s v="English"/>
    <s v="BC &amp; Yukon"/>
    <x v="1"/>
    <s v="Victoria"/>
    <n v="363100"/>
    <s v="100K-500K"/>
    <x v="0"/>
    <n v="10"/>
    <n v="305"/>
    <n v="3050"/>
    <s v="May 2011"/>
    <x v="0"/>
    <s v="Morning"/>
    <s v="T-Su"/>
    <s v="Glacier Media"/>
    <s v="AAM"/>
    <n v="49204"/>
    <n v="49768"/>
    <n v="49797"/>
    <n v="2813"/>
    <n v="1817"/>
    <n v="1882"/>
    <n v="52017"/>
    <n v="51585"/>
    <n v="51679"/>
    <n v="1867"/>
    <n v="1902"/>
    <n v="1922"/>
    <n v="48271"/>
    <n v="48555"/>
    <n v="48668"/>
    <n v="10016"/>
    <n v="9438"/>
    <n v="9461"/>
    <n v="58287"/>
    <n v="57993"/>
    <n v="58129"/>
    <n v="9930"/>
    <n v="9913"/>
    <n v="9915"/>
    <n v="48737.5"/>
    <n v="49161.5"/>
    <n v="49232.5"/>
    <n v="6414.5"/>
    <n v="5627.5"/>
    <n v="5671.5"/>
    <n v="55152"/>
    <n v="54789"/>
    <n v="54904"/>
    <n v="5898.5"/>
    <n v="5907.5"/>
    <n v="5918.5"/>
    <n v="330301"/>
    <n v="55050.166666666664"/>
    <n v="35420"/>
  </r>
  <r>
    <x v="26"/>
    <s v="English"/>
    <s v="Prairies"/>
    <x v="2"/>
    <s v="Brandon"/>
    <n v="53229"/>
    <s v="50K-100K"/>
    <x v="0"/>
    <n v="6"/>
    <n v="300"/>
    <n v="1800"/>
    <m/>
    <x v="0"/>
    <s v="Evening"/>
    <s v="M-Su"/>
    <s v="FP Canadian NP LP"/>
    <s v="AAM"/>
    <n v="8830"/>
    <n v="10768"/>
    <m/>
    <n v="2834"/>
    <n v="1542"/>
    <m/>
    <n v="11664"/>
    <n v="12310"/>
    <m/>
    <n v="309"/>
    <n v="310"/>
    <m/>
    <n v="8709"/>
    <n v="10717"/>
    <m/>
    <n v="2123"/>
    <n v="1312"/>
    <m/>
    <n v="10832"/>
    <n v="12029"/>
    <n v="0"/>
    <n v="317"/>
    <n v="317"/>
    <m/>
    <n v="8769.5"/>
    <n v="10742.5"/>
    <m/>
    <n v="2478.5"/>
    <n v="1427"/>
    <m/>
    <n v="11248"/>
    <n v="12169.5"/>
    <m/>
    <n v="313"/>
    <n v="313.5"/>
    <m/>
    <n v="68409.5"/>
    <n v="9772.7857142857138"/>
    <n v="1878.5"/>
  </r>
  <r>
    <x v="27"/>
    <s v="English"/>
    <s v="Prairies"/>
    <x v="2"/>
    <s v="Winnipeg"/>
    <n v="778400"/>
    <s v="500K-1M"/>
    <x v="0"/>
    <n v="10"/>
    <n v="301"/>
    <n v="3010"/>
    <m/>
    <x v="0"/>
    <s v="Morning"/>
    <s v="M-Sa"/>
    <s v="FP Canadian NP LP"/>
    <s v="AAM"/>
    <n v="72741"/>
    <n v="102189"/>
    <m/>
    <n v="38597"/>
    <n v="37853"/>
    <m/>
    <n v="111338"/>
    <n v="140042"/>
    <m/>
    <n v="33701"/>
    <n v="33652"/>
    <m/>
    <n v="70612"/>
    <n v="100574"/>
    <m/>
    <n v="27867"/>
    <n v="37160"/>
    <m/>
    <n v="98479"/>
    <n v="137734"/>
    <n v="0"/>
    <n v="22100"/>
    <n v="32480"/>
    <m/>
    <n v="71676.5"/>
    <n v="101381.5"/>
    <m/>
    <n v="33232"/>
    <n v="37506.5"/>
    <m/>
    <n v="104908.5"/>
    <n v="138888"/>
    <m/>
    <n v="27900.5"/>
    <n v="33066"/>
    <m/>
    <n v="663430.5"/>
    <n v="110571.75"/>
    <n v="172568.5"/>
  </r>
  <r>
    <x v="28"/>
    <s v="English"/>
    <s v="Prairies"/>
    <x v="2"/>
    <s v="Winnipeg"/>
    <n v="778400"/>
    <s v="500K-1M"/>
    <x v="1"/>
    <n v="10"/>
    <n v="160"/>
    <n v="1600"/>
    <s v="Dec 2012"/>
    <x v="0"/>
    <s v="Morning"/>
    <s v="M-Su"/>
    <s v="Quebecor/Sun Media"/>
    <s v="CCAB"/>
    <m/>
    <m/>
    <m/>
    <m/>
    <m/>
    <m/>
    <m/>
    <m/>
    <m/>
    <m/>
    <m/>
    <m/>
    <m/>
    <m/>
    <m/>
    <m/>
    <m/>
    <m/>
    <n v="0"/>
    <n v="0"/>
    <n v="0"/>
    <m/>
    <m/>
    <m/>
    <n v="15290"/>
    <n v="16537"/>
    <n v="17728"/>
    <n v="40921"/>
    <n v="30593"/>
    <n v="29963"/>
    <n v="56211"/>
    <n v="47130"/>
    <n v="47691"/>
    <n v="28610"/>
    <n v="28122"/>
    <n v="27983"/>
    <n v="375876"/>
    <n v="53696.571428571428"/>
    <n v="199155"/>
  </r>
  <r>
    <x v="29"/>
    <s v="English"/>
    <s v="Prairies"/>
    <x v="2"/>
    <s v="Winnipeg"/>
    <n v="778400"/>
    <s v="500K-1M"/>
    <x v="1"/>
    <n v="6"/>
    <n v="175"/>
    <n v="1050"/>
    <m/>
    <x v="1"/>
    <s v="Morning"/>
    <s v="M-F"/>
    <s v="Metro Intl.SA &amp; TorStar"/>
    <s v="CCAB"/>
    <m/>
    <m/>
    <m/>
    <m/>
    <m/>
    <m/>
    <m/>
    <m/>
    <m/>
    <m/>
    <m/>
    <m/>
    <m/>
    <m/>
    <m/>
    <m/>
    <m/>
    <m/>
    <m/>
    <m/>
    <m/>
    <m/>
    <m/>
    <m/>
    <m/>
    <m/>
    <m/>
    <n v="37511.599999999999"/>
    <m/>
    <m/>
    <n v="37511.599999999999"/>
    <m/>
    <m/>
    <m/>
    <m/>
    <m/>
    <n v="187558"/>
    <n v="37511.599999999999"/>
    <n v="0"/>
  </r>
  <r>
    <x v="30"/>
    <s v="French"/>
    <s v="Atlantic"/>
    <x v="3"/>
    <s v="Caraquet"/>
    <n v="4276"/>
    <s v="&lt;50K"/>
    <x v="1"/>
    <n v="12"/>
    <n v="160"/>
    <n v="1920"/>
    <m/>
    <x v="0"/>
    <s v="Morning"/>
    <s v="M-Sa"/>
    <s v="Independent"/>
    <s v="PS"/>
    <m/>
    <m/>
    <m/>
    <m/>
    <m/>
    <m/>
    <m/>
    <m/>
    <m/>
    <m/>
    <m/>
    <m/>
    <m/>
    <m/>
    <m/>
    <m/>
    <m/>
    <m/>
    <n v="0"/>
    <n v="0"/>
    <n v="0"/>
    <m/>
    <m/>
    <m/>
    <n v="18102"/>
    <n v="18102"/>
    <m/>
    <m/>
    <m/>
    <m/>
    <n v="18102"/>
    <n v="18102"/>
    <m/>
    <m/>
    <m/>
    <m/>
    <n v="108612"/>
    <n v="18102"/>
    <n v="0"/>
  </r>
  <r>
    <x v="31"/>
    <s v="English"/>
    <s v="Atlantic"/>
    <x v="3"/>
    <s v="Fredericton"/>
    <n v="94268"/>
    <s v="50K-100K"/>
    <x v="0"/>
    <n v="10"/>
    <n v="294"/>
    <n v="2940"/>
    <s v="Nov 2011"/>
    <x v="0"/>
    <s v="Morning"/>
    <s v="M-Sa"/>
    <s v="Brunswick News Inc."/>
    <s v="CMCA"/>
    <m/>
    <m/>
    <m/>
    <m/>
    <m/>
    <m/>
    <m/>
    <m/>
    <m/>
    <m/>
    <m/>
    <m/>
    <m/>
    <m/>
    <m/>
    <m/>
    <m/>
    <m/>
    <m/>
    <m/>
    <m/>
    <m/>
    <m/>
    <m/>
    <n v="16050"/>
    <n v="16050"/>
    <m/>
    <n v="52"/>
    <n v="52"/>
    <m/>
    <n v="16102"/>
    <n v="16102"/>
    <m/>
    <n v="110"/>
    <n v="110"/>
    <m/>
    <n v="96612"/>
    <n v="16102"/>
    <n v="660"/>
  </r>
  <r>
    <x v="32"/>
    <s v="English"/>
    <s v="Atlantic"/>
    <x v="3"/>
    <s v="Moncton"/>
    <n v="143000"/>
    <s v="100K-500K"/>
    <x v="0"/>
    <n v="10"/>
    <n v="294"/>
    <n v="2940"/>
    <s v="Nov 2011"/>
    <x v="0"/>
    <s v="Morning"/>
    <s v="M-Sa"/>
    <s v="Brunswick News Inc."/>
    <s v="CMCA"/>
    <m/>
    <m/>
    <m/>
    <m/>
    <m/>
    <m/>
    <m/>
    <m/>
    <m/>
    <m/>
    <m/>
    <m/>
    <m/>
    <m/>
    <m/>
    <m/>
    <m/>
    <m/>
    <m/>
    <m/>
    <m/>
    <m/>
    <m/>
    <m/>
    <n v="28812"/>
    <n v="28812"/>
    <m/>
    <n v="76"/>
    <n v="76"/>
    <m/>
    <n v="28888"/>
    <n v="28888"/>
    <m/>
    <n v="164"/>
    <n v="164"/>
    <m/>
    <n v="173328"/>
    <n v="28888"/>
    <n v="984"/>
  </r>
  <r>
    <x v="33"/>
    <s v="English"/>
    <s v="Atlantic"/>
    <x v="3"/>
    <s v="Saint John"/>
    <n v="128900"/>
    <s v="100K-500K"/>
    <x v="0"/>
    <n v="10"/>
    <n v="294"/>
    <n v="2940"/>
    <s v="Nov 2011"/>
    <x v="0"/>
    <s v="Morning"/>
    <s v="M-Sa"/>
    <s v="Brunswick News Inc."/>
    <s v="CMCA"/>
    <m/>
    <m/>
    <m/>
    <m/>
    <m/>
    <m/>
    <m/>
    <m/>
    <m/>
    <m/>
    <m/>
    <m/>
    <m/>
    <m/>
    <m/>
    <m/>
    <m/>
    <m/>
    <m/>
    <m/>
    <m/>
    <m/>
    <m/>
    <m/>
    <n v="26863"/>
    <n v="26863"/>
    <m/>
    <n v="94"/>
    <n v="94"/>
    <m/>
    <n v="26957"/>
    <n v="26957"/>
    <m/>
    <n v="15"/>
    <n v="15"/>
    <m/>
    <n v="161742"/>
    <n v="26957"/>
    <n v="90"/>
  </r>
  <r>
    <x v="34"/>
    <s v="English"/>
    <s v="Atlantic"/>
    <x v="4"/>
    <s v="Corner Brook"/>
    <n v="27202"/>
    <s v="&lt;50K"/>
    <x v="0"/>
    <n v="10"/>
    <n v="301"/>
    <n v="3010"/>
    <s v="Jan 2014"/>
    <x v="0"/>
    <s v="Morning"/>
    <s v="M-Sa"/>
    <s v="TC Media"/>
    <s v="CCAB"/>
    <m/>
    <m/>
    <m/>
    <m/>
    <m/>
    <m/>
    <m/>
    <m/>
    <m/>
    <m/>
    <m/>
    <m/>
    <m/>
    <m/>
    <m/>
    <m/>
    <m/>
    <m/>
    <n v="0"/>
    <n v="0"/>
    <n v="0"/>
    <m/>
    <m/>
    <m/>
    <n v="5015"/>
    <n v="5765"/>
    <m/>
    <n v="384"/>
    <n v="103"/>
    <m/>
    <n v="5399"/>
    <n v="5868"/>
    <m/>
    <n v="72"/>
    <n v="74"/>
    <m/>
    <n v="32863"/>
    <n v="5477.166666666667"/>
    <n v="434"/>
  </r>
  <r>
    <x v="35"/>
    <s v="English"/>
    <s v="Atlantic"/>
    <x v="4"/>
    <s v="St. John's"/>
    <n v="200600"/>
    <s v="100K-500K"/>
    <x v="0"/>
    <n v="10"/>
    <n v="301"/>
    <n v="3010"/>
    <s v="April 2014"/>
    <x v="0"/>
    <s v="Evening"/>
    <s v="M-Sa"/>
    <s v="TC Media"/>
    <s v="CCAB"/>
    <m/>
    <m/>
    <m/>
    <m/>
    <m/>
    <m/>
    <m/>
    <m/>
    <m/>
    <m/>
    <m/>
    <m/>
    <m/>
    <m/>
    <m/>
    <m/>
    <m/>
    <m/>
    <n v="0"/>
    <n v="0"/>
    <n v="0"/>
    <m/>
    <m/>
    <m/>
    <n v="15290"/>
    <n v="25596"/>
    <m/>
    <n v="16533"/>
    <n v="14104"/>
    <m/>
    <n v="31823"/>
    <n v="39700"/>
    <m/>
    <n v="14825"/>
    <n v="14651"/>
    <m/>
    <n v="198815"/>
    <n v="33135.833333333336"/>
    <n v="88776"/>
  </r>
  <r>
    <x v="36"/>
    <s v="English"/>
    <s v="Atlantic"/>
    <x v="5"/>
    <s v="Halifax"/>
    <n v="413700"/>
    <s v="100K-500K"/>
    <x v="0"/>
    <m/>
    <m/>
    <n v="0"/>
    <s v="Aug 2013"/>
    <x v="0"/>
    <s v="Morning"/>
    <s v="M-Sa"/>
    <s v="Halifax Herald Ltd."/>
    <s v="AAM"/>
    <n v="72552"/>
    <n v="74731"/>
    <m/>
    <n v="20799"/>
    <n v="18723"/>
    <m/>
    <n v="93351"/>
    <n v="93454"/>
    <m/>
    <n v="17764"/>
    <n v="17257"/>
    <m/>
    <n v="70056"/>
    <n v="74716"/>
    <m/>
    <n v="18897"/>
    <n v="18185"/>
    <m/>
    <n v="88953"/>
    <n v="92901"/>
    <n v="0"/>
    <n v="16508"/>
    <n v="16732"/>
    <m/>
    <n v="71304"/>
    <n v="74723.5"/>
    <m/>
    <n v="19848"/>
    <n v="18454"/>
    <m/>
    <n v="91152"/>
    <n v="93177.5"/>
    <m/>
    <n v="17136"/>
    <n v="16994.5"/>
    <m/>
    <n v="548937.5"/>
    <n v="91489.583333333328"/>
    <n v="102674.5"/>
  </r>
  <r>
    <x v="37"/>
    <s v="English"/>
    <s v="Atlantic"/>
    <x v="5"/>
    <s v="Halifax"/>
    <n v="413700"/>
    <s v="100K-500K"/>
    <x v="1"/>
    <n v="6"/>
    <n v="175"/>
    <n v="1050"/>
    <m/>
    <x v="1"/>
    <s v="Morning"/>
    <s v="M-F"/>
    <s v="TC Media &amp; Metro Intl. SA "/>
    <s v="CCAB"/>
    <m/>
    <m/>
    <m/>
    <m/>
    <m/>
    <m/>
    <m/>
    <m/>
    <m/>
    <m/>
    <m/>
    <m/>
    <m/>
    <m/>
    <m/>
    <m/>
    <m/>
    <m/>
    <m/>
    <m/>
    <m/>
    <m/>
    <m/>
    <m/>
    <m/>
    <m/>
    <m/>
    <n v="43927.6"/>
    <m/>
    <m/>
    <n v="43927.6"/>
    <m/>
    <m/>
    <m/>
    <m/>
    <m/>
    <n v="219638"/>
    <n v="43927.6"/>
    <n v="0"/>
  </r>
  <r>
    <x v="38"/>
    <s v="English"/>
    <s v="Atlantic"/>
    <x v="5"/>
    <s v="New Glasgow"/>
    <n v="35809"/>
    <s v="&lt;50K"/>
    <x v="1"/>
    <n v="8"/>
    <n v="196"/>
    <n v="1568"/>
    <m/>
    <x v="0"/>
    <s v="Evening"/>
    <s v="M-Sa"/>
    <s v="TC Media"/>
    <s v="CMCA"/>
    <m/>
    <m/>
    <m/>
    <m/>
    <m/>
    <m/>
    <m/>
    <m/>
    <m/>
    <m/>
    <m/>
    <m/>
    <m/>
    <m/>
    <m/>
    <m/>
    <m/>
    <m/>
    <n v="0"/>
    <n v="0"/>
    <n v="0"/>
    <m/>
    <m/>
    <m/>
    <n v="4493"/>
    <n v="4493"/>
    <m/>
    <n v="827"/>
    <n v="827"/>
    <m/>
    <n v="5320"/>
    <n v="5320"/>
    <m/>
    <m/>
    <m/>
    <m/>
    <n v="31920"/>
    <n v="5320"/>
    <n v="0"/>
  </r>
  <r>
    <x v="39"/>
    <s v="English"/>
    <s v="Atlantic"/>
    <x v="5"/>
    <s v="Sydney"/>
    <n v="14135"/>
    <s v="&lt;50K"/>
    <x v="0"/>
    <n v="10"/>
    <n v="301"/>
    <n v="3010"/>
    <s v="Feb 2014"/>
    <x v="0"/>
    <s v="Morning"/>
    <s v="M-Sa"/>
    <s v="TC Media"/>
    <s v="CCAB"/>
    <m/>
    <m/>
    <m/>
    <m/>
    <m/>
    <m/>
    <m/>
    <m/>
    <m/>
    <m/>
    <m/>
    <m/>
    <m/>
    <m/>
    <m/>
    <m/>
    <m/>
    <m/>
    <n v="0"/>
    <n v="0"/>
    <n v="0"/>
    <m/>
    <m/>
    <m/>
    <n v="16414"/>
    <n v="17072"/>
    <m/>
    <n v="2123"/>
    <n v="170"/>
    <m/>
    <n v="18537"/>
    <n v="17242"/>
    <m/>
    <n v="434"/>
    <n v="433"/>
    <m/>
    <n v="109927"/>
    <n v="18321.166666666668"/>
    <n v="2603"/>
  </r>
  <r>
    <x v="40"/>
    <s v="English"/>
    <s v="Atlantic"/>
    <x v="5"/>
    <s v="Truro"/>
    <n v="45888"/>
    <s v="&lt;50K"/>
    <x v="1"/>
    <n v="8"/>
    <n v="196"/>
    <n v="1568"/>
    <s v="July 2013"/>
    <x v="0"/>
    <s v="Evening"/>
    <s v="M-Sa"/>
    <s v="TC Media"/>
    <s v="CMCA"/>
    <m/>
    <m/>
    <m/>
    <m/>
    <m/>
    <m/>
    <m/>
    <m/>
    <m/>
    <m/>
    <m/>
    <m/>
    <m/>
    <m/>
    <m/>
    <m/>
    <m/>
    <m/>
    <n v="0"/>
    <n v="0"/>
    <n v="0"/>
    <m/>
    <m/>
    <m/>
    <n v="4378"/>
    <n v="4378"/>
    <m/>
    <n v="501"/>
    <n v="501"/>
    <m/>
    <n v="4879"/>
    <n v="4879"/>
    <m/>
    <m/>
    <m/>
    <m/>
    <n v="29274"/>
    <n v="4879"/>
    <n v="0"/>
  </r>
  <r>
    <x v="41"/>
    <s v="English"/>
    <s v="Ontario"/>
    <x v="6"/>
    <s v="Barrie"/>
    <n v="196000"/>
    <s v="100K-500K"/>
    <x v="0"/>
    <n v="10"/>
    <n v="287"/>
    <n v="2870"/>
    <m/>
    <x v="0"/>
    <s v="Evening"/>
    <s v="M-Sa"/>
    <s v="Quebecor/Sun Media"/>
    <s v="CCAB"/>
    <m/>
    <m/>
    <m/>
    <m/>
    <m/>
    <m/>
    <m/>
    <m/>
    <m/>
    <m/>
    <m/>
    <m/>
    <m/>
    <m/>
    <m/>
    <m/>
    <m/>
    <m/>
    <n v="0"/>
    <n v="0"/>
    <n v="0"/>
    <m/>
    <m/>
    <m/>
    <n v="6552.5"/>
    <n v="5974"/>
    <m/>
    <m/>
    <m/>
    <n v="44729"/>
    <n v="6552.5"/>
    <n v="5974"/>
    <n v="44729"/>
    <m/>
    <m/>
    <m/>
    <n v="83465.5"/>
    <n v="13910.916666666666"/>
    <n v="0"/>
  </r>
  <r>
    <x v="42"/>
    <s v="English"/>
    <s v="Ontario"/>
    <x v="6"/>
    <s v="Belleville"/>
    <n v="92540"/>
    <s v="50K-100K"/>
    <x v="0"/>
    <n v="10"/>
    <n v="301"/>
    <n v="3010"/>
    <m/>
    <x v="0"/>
    <s v="Evening"/>
    <s v="M-Sa"/>
    <s v="Quebecor/Sun Media"/>
    <s v="CCAB"/>
    <m/>
    <m/>
    <m/>
    <m/>
    <m/>
    <m/>
    <m/>
    <m/>
    <m/>
    <m/>
    <m/>
    <m/>
    <m/>
    <m/>
    <m/>
    <m/>
    <m/>
    <m/>
    <n v="0"/>
    <n v="0"/>
    <n v="0"/>
    <m/>
    <m/>
    <m/>
    <n v="6840"/>
    <n v="6911"/>
    <m/>
    <n v="382"/>
    <n v="378"/>
    <m/>
    <n v="7222"/>
    <n v="7289"/>
    <m/>
    <n v="546"/>
    <n v="541"/>
    <m/>
    <n v="43399"/>
    <n v="7233.166666666667"/>
    <n v="3271"/>
  </r>
  <r>
    <x v="43"/>
    <s v="English"/>
    <s v="Ontario"/>
    <x v="6"/>
    <s v="Brantford"/>
    <n v="140500"/>
    <s v="100K-500K"/>
    <x v="0"/>
    <n v="10"/>
    <n v="302"/>
    <n v="3020"/>
    <m/>
    <x v="0"/>
    <s v="Morning"/>
    <s v="M-Sa"/>
    <s v="Quebecor/Sun Media"/>
    <s v="CCAB"/>
    <m/>
    <m/>
    <m/>
    <m/>
    <m/>
    <m/>
    <m/>
    <m/>
    <m/>
    <m/>
    <m/>
    <m/>
    <m/>
    <m/>
    <m/>
    <m/>
    <m/>
    <m/>
    <n v="0"/>
    <n v="0"/>
    <n v="0"/>
    <m/>
    <m/>
    <m/>
    <n v="12382"/>
    <n v="12773"/>
    <m/>
    <n v="6676"/>
    <n v="613"/>
    <m/>
    <n v="19058"/>
    <n v="13386"/>
    <m/>
    <n v="619"/>
    <n v="601"/>
    <m/>
    <n v="108676"/>
    <n v="18112.666666666668"/>
    <n v="3696"/>
  </r>
  <r>
    <x v="44"/>
    <s v="English"/>
    <s v="Ontario"/>
    <x v="6"/>
    <s v="Brockville"/>
    <n v="39027"/>
    <s v="&lt;50K"/>
    <x v="0"/>
    <n v="10"/>
    <n v="300"/>
    <n v="3000"/>
    <m/>
    <x v="0"/>
    <s v="Evening"/>
    <s v="T-Sa"/>
    <s v="Quebecor/Sun Media"/>
    <s v="PS"/>
    <m/>
    <m/>
    <m/>
    <m/>
    <m/>
    <m/>
    <m/>
    <m/>
    <m/>
    <m/>
    <m/>
    <m/>
    <m/>
    <m/>
    <m/>
    <m/>
    <m/>
    <m/>
    <n v="0"/>
    <n v="0"/>
    <n v="0"/>
    <m/>
    <m/>
    <m/>
    <n v="5889"/>
    <n v="5889"/>
    <m/>
    <m/>
    <m/>
    <n v="18645"/>
    <n v="5889"/>
    <n v="5889"/>
    <n v="18645"/>
    <n v="175"/>
    <n v="175"/>
    <m/>
    <n v="53979"/>
    <n v="10795.8"/>
    <n v="875"/>
  </r>
  <r>
    <x v="45"/>
    <s v="English"/>
    <s v="Ontario"/>
    <x v="6"/>
    <s v="Chatham"/>
    <n v="104075"/>
    <s v="100K-500K"/>
    <x v="0"/>
    <n v="10"/>
    <n v="301"/>
    <n v="3010"/>
    <m/>
    <x v="0"/>
    <s v="Evening"/>
    <s v="M-Sa"/>
    <s v="Quebecor/Sun Media"/>
    <s v="CCAB"/>
    <m/>
    <m/>
    <m/>
    <m/>
    <m/>
    <m/>
    <m/>
    <m/>
    <m/>
    <m/>
    <m/>
    <m/>
    <m/>
    <m/>
    <m/>
    <m/>
    <m/>
    <m/>
    <n v="0"/>
    <n v="0"/>
    <n v="0"/>
    <m/>
    <m/>
    <m/>
    <n v="5249"/>
    <n v="5329"/>
    <m/>
    <n v="136"/>
    <n v="118"/>
    <m/>
    <n v="5385"/>
    <n v="5447"/>
    <m/>
    <n v="260"/>
    <n v="259"/>
    <m/>
    <n v="32372"/>
    <n v="5395.333333333333"/>
    <n v="1559"/>
  </r>
  <r>
    <x v="46"/>
    <s v="English"/>
    <s v="Ontario"/>
    <x v="6"/>
    <s v="Cobourg/Port Hope"/>
    <n v="18519"/>
    <s v="&lt;50K"/>
    <x v="0"/>
    <n v="10"/>
    <n v="301"/>
    <n v="3010"/>
    <m/>
    <x v="0"/>
    <m/>
    <s v="M-F"/>
    <s v="Quebecor/Sun Media"/>
    <s v="CMCA"/>
    <m/>
    <m/>
    <m/>
    <m/>
    <m/>
    <m/>
    <m/>
    <m/>
    <m/>
    <m/>
    <m/>
    <m/>
    <m/>
    <m/>
    <m/>
    <m/>
    <m/>
    <m/>
    <n v="0"/>
    <n v="0"/>
    <n v="0"/>
    <m/>
    <m/>
    <m/>
    <n v="3168"/>
    <m/>
    <m/>
    <m/>
    <m/>
    <n v="18450"/>
    <n v="3168"/>
    <m/>
    <n v="18450"/>
    <n v="44"/>
    <m/>
    <m/>
    <n v="34290"/>
    <n v="6858"/>
    <n v="220"/>
  </r>
  <r>
    <x v="47"/>
    <s v="English"/>
    <s v="Ontario"/>
    <x v="6"/>
    <s v="Cornwall"/>
    <n v="58957"/>
    <s v="50K-100K"/>
    <x v="0"/>
    <n v="10"/>
    <n v="287"/>
    <n v="2870"/>
    <m/>
    <x v="0"/>
    <s v="Morning"/>
    <s v="M-Sa"/>
    <s v="Quebecor/Sun Media"/>
    <s v="CCAB"/>
    <m/>
    <m/>
    <m/>
    <m/>
    <m/>
    <m/>
    <m/>
    <m/>
    <m/>
    <m/>
    <m/>
    <m/>
    <m/>
    <m/>
    <m/>
    <m/>
    <m/>
    <m/>
    <n v="0"/>
    <n v="0"/>
    <n v="0"/>
    <m/>
    <m/>
    <m/>
    <n v="7329"/>
    <n v="7525"/>
    <m/>
    <n v="150"/>
    <n v="147"/>
    <m/>
    <n v="7479"/>
    <n v="7672"/>
    <m/>
    <n v="501"/>
    <n v="496"/>
    <m/>
    <n v="45067"/>
    <n v="7511.166666666667"/>
    <n v="3001"/>
  </r>
  <r>
    <x v="48"/>
    <s v="English"/>
    <s v="Ontario"/>
    <x v="6"/>
    <s v="Fort Frances"/>
    <n v="7834"/>
    <s v="&lt;50K"/>
    <x v="1"/>
    <n v="5"/>
    <n v="210"/>
    <n v="1050"/>
    <m/>
    <x v="0"/>
    <m/>
    <s v="M-F"/>
    <s v="Independent"/>
    <s v="PS"/>
    <m/>
    <m/>
    <m/>
    <m/>
    <m/>
    <m/>
    <m/>
    <m/>
    <m/>
    <m/>
    <m/>
    <m/>
    <m/>
    <m/>
    <m/>
    <m/>
    <m/>
    <m/>
    <n v="0"/>
    <n v="0"/>
    <n v="0"/>
    <m/>
    <m/>
    <m/>
    <n v="2499.25"/>
    <m/>
    <m/>
    <m/>
    <m/>
    <m/>
    <n v="2499.25"/>
    <m/>
    <m/>
    <m/>
    <m/>
    <m/>
    <n v="12496.25"/>
    <n v="2499.25"/>
    <n v="0"/>
  </r>
  <r>
    <x v="49"/>
    <s v="English"/>
    <s v="Ontario"/>
    <x v="6"/>
    <s v="Guelph"/>
    <n v="142900"/>
    <s v="100K-500K"/>
    <x v="0"/>
    <n v="10"/>
    <n v="296"/>
    <n v="2960"/>
    <m/>
    <x v="0"/>
    <s v="Evening"/>
    <s v="M-Sa"/>
    <s v="Torstar Corporation"/>
    <s v="CCAB"/>
    <m/>
    <m/>
    <m/>
    <m/>
    <m/>
    <m/>
    <m/>
    <m/>
    <m/>
    <m/>
    <m/>
    <m/>
    <m/>
    <m/>
    <m/>
    <m/>
    <m/>
    <m/>
    <n v="0"/>
    <n v="0"/>
    <n v="0"/>
    <m/>
    <m/>
    <m/>
    <n v="9371"/>
    <n v="9948"/>
    <m/>
    <n v="1972"/>
    <n v="1351"/>
    <m/>
    <n v="11343"/>
    <n v="11299"/>
    <m/>
    <n v="1197"/>
    <n v="895"/>
    <m/>
    <n v="68014"/>
    <n v="11335.666666666666"/>
    <n v="6880"/>
  </r>
  <r>
    <x v="50"/>
    <s v="English"/>
    <s v="Ontario"/>
    <x v="6"/>
    <s v="Hamilton"/>
    <n v="756600"/>
    <s v="500K-1M"/>
    <x v="0"/>
    <n v="10"/>
    <n v="301"/>
    <n v="3010"/>
    <m/>
    <x v="0"/>
    <s v="Morning"/>
    <s v="M-Sa"/>
    <s v="Torstar Corporation"/>
    <s v="CCAB"/>
    <m/>
    <m/>
    <m/>
    <m/>
    <m/>
    <m/>
    <m/>
    <m/>
    <m/>
    <m/>
    <m/>
    <m/>
    <m/>
    <m/>
    <m/>
    <m/>
    <m/>
    <m/>
    <n v="0"/>
    <n v="0"/>
    <n v="0"/>
    <m/>
    <m/>
    <m/>
    <n v="74950"/>
    <n v="80431"/>
    <m/>
    <n v="39013"/>
    <n v="36204"/>
    <m/>
    <n v="113963"/>
    <n v="116635"/>
    <m/>
    <n v="34527"/>
    <n v="34258"/>
    <m/>
    <n v="686450"/>
    <n v="114408.33333333333"/>
    <n v="206893"/>
  </r>
  <r>
    <x v="51"/>
    <s v="English"/>
    <s v="Ontario"/>
    <x v="6"/>
    <s v="Kenora"/>
    <n v="15348"/>
    <s v="&lt;50K"/>
    <x v="1"/>
    <n v="10"/>
    <n v="160"/>
    <n v="1600"/>
    <m/>
    <x v="0"/>
    <s v="Evening"/>
    <s v="M-W,F"/>
    <s v="Quebecor/Sun Media"/>
    <s v="PS"/>
    <m/>
    <m/>
    <m/>
    <m/>
    <m/>
    <m/>
    <m/>
    <m/>
    <m/>
    <m/>
    <m/>
    <m/>
    <m/>
    <m/>
    <m/>
    <m/>
    <m/>
    <m/>
    <n v="0"/>
    <n v="0"/>
    <n v="0"/>
    <m/>
    <m/>
    <m/>
    <n v="2077"/>
    <m/>
    <m/>
    <m/>
    <m/>
    <m/>
    <n v="2077"/>
    <m/>
    <m/>
    <m/>
    <m/>
    <m/>
    <n v="8308"/>
    <n v="1186.8571428571429"/>
    <n v="0"/>
  </r>
  <r>
    <x v="52"/>
    <s v="English"/>
    <s v="Ontario"/>
    <x v="6"/>
    <s v="Kingston"/>
    <n v="165500"/>
    <s v="100K-500K"/>
    <x v="0"/>
    <n v="10"/>
    <n v="301"/>
    <n v="3010"/>
    <m/>
    <x v="0"/>
    <s v="Morning"/>
    <s v="M-Sa"/>
    <s v="Quebecor/Sun Media"/>
    <s v="CCAB"/>
    <m/>
    <m/>
    <m/>
    <m/>
    <m/>
    <m/>
    <m/>
    <m/>
    <m/>
    <m/>
    <m/>
    <m/>
    <m/>
    <m/>
    <m/>
    <m/>
    <m/>
    <m/>
    <n v="0"/>
    <n v="0"/>
    <n v="0"/>
    <m/>
    <m/>
    <m/>
    <n v="15341"/>
    <n v="17006"/>
    <m/>
    <n v="1736"/>
    <n v="1662"/>
    <m/>
    <n v="17077"/>
    <n v="18668"/>
    <m/>
    <n v="2152"/>
    <n v="2081"/>
    <m/>
    <n v="104053"/>
    <n v="17342.166666666668"/>
    <n v="12841"/>
  </r>
  <r>
    <x v="53"/>
    <s v="English"/>
    <s v="Ontario"/>
    <x v="6"/>
    <s v="London"/>
    <n v="500000"/>
    <s v="100K-500K"/>
    <x v="0"/>
    <n v="10"/>
    <n v="309"/>
    <n v="3090"/>
    <m/>
    <x v="0"/>
    <s v="Morning"/>
    <s v="M-Sa"/>
    <s v="Quebecor/Sun Media"/>
    <s v="CCAB"/>
    <m/>
    <m/>
    <m/>
    <m/>
    <m/>
    <m/>
    <m/>
    <m/>
    <m/>
    <m/>
    <m/>
    <m/>
    <m/>
    <m/>
    <m/>
    <m/>
    <m/>
    <m/>
    <n v="0"/>
    <n v="0"/>
    <n v="0"/>
    <m/>
    <m/>
    <m/>
    <n v="50034"/>
    <n v="54573"/>
    <m/>
    <n v="18988"/>
    <n v="18218"/>
    <m/>
    <n v="69022"/>
    <n v="72791"/>
    <m/>
    <n v="18701"/>
    <n v="18431"/>
    <m/>
    <n v="417901"/>
    <n v="69650.166666666672"/>
    <n v="111936"/>
  </r>
  <r>
    <x v="54"/>
    <s v="English"/>
    <s v="Ontario"/>
    <x v="6"/>
    <s v="National"/>
    <m/>
    <s v="1M+"/>
    <x v="0"/>
    <n v="10"/>
    <n v="280"/>
    <n v="2800"/>
    <s v="Oct 2012"/>
    <x v="0"/>
    <s v="Morning"/>
    <s v="M-Sa"/>
    <s v="Globemedia Inc."/>
    <s v="AAM"/>
    <n v="248342"/>
    <n v="314828"/>
    <m/>
    <n v="99182"/>
    <n v="98963"/>
    <m/>
    <n v="347524"/>
    <n v="413791"/>
    <m/>
    <n v="133978"/>
    <n v="132281"/>
    <m/>
    <n v="239700"/>
    <n v="310902"/>
    <m/>
    <n v="105862"/>
    <n v="108125"/>
    <m/>
    <n v="345562"/>
    <n v="419027"/>
    <n v="0"/>
    <n v="145090"/>
    <n v="145870"/>
    <m/>
    <n v="244021"/>
    <n v="312865"/>
    <m/>
    <n v="102522"/>
    <n v="103544"/>
    <m/>
    <n v="346543"/>
    <n v="416409"/>
    <m/>
    <n v="139534"/>
    <n v="139075.5"/>
    <m/>
    <n v="2149124"/>
    <n v="358187.33333333331"/>
    <n v="836745.5"/>
  </r>
  <r>
    <x v="55"/>
    <s v="English"/>
    <s v="Ontario"/>
    <x v="6"/>
    <s v="National"/>
    <m/>
    <s v="1M+"/>
    <x v="0"/>
    <n v="10"/>
    <n v="300"/>
    <n v="3000"/>
    <s v="May 2013"/>
    <x v="0"/>
    <s v="Morning"/>
    <s v="M-Sa"/>
    <s v="Postmedia Network Inc."/>
    <s v="AAM"/>
    <n v="82374"/>
    <n v="91549"/>
    <m/>
    <n v="95408"/>
    <n v="82251"/>
    <m/>
    <n v="177782"/>
    <n v="173800"/>
    <m/>
    <n v="47551"/>
    <n v="35433"/>
    <m/>
    <n v="84968"/>
    <n v="94353"/>
    <m/>
    <n v="103472"/>
    <n v="94896"/>
    <m/>
    <n v="188440"/>
    <n v="189249"/>
    <n v="0"/>
    <n v="47669"/>
    <n v="37864"/>
    <m/>
    <n v="83671"/>
    <n v="92951"/>
    <m/>
    <n v="99440"/>
    <n v="88573.5"/>
    <m/>
    <n v="183111"/>
    <n v="181524.5"/>
    <m/>
    <n v="47610"/>
    <n v="36648.5"/>
    <m/>
    <n v="1097079.5"/>
    <n v="182846.58333333334"/>
    <n v="274698.5"/>
  </r>
  <r>
    <x v="56"/>
    <s v="English"/>
    <s v="Ontario"/>
    <x v="6"/>
    <s v="Niagara Falls"/>
    <n v="82997"/>
    <s v="50K-100K"/>
    <x v="0"/>
    <n v="10"/>
    <n v="301"/>
    <n v="3010"/>
    <m/>
    <x v="0"/>
    <s v="Morning"/>
    <s v="M-Sa"/>
    <s v="Quebecor/Sun Media"/>
    <s v="CCAB"/>
    <m/>
    <m/>
    <m/>
    <m/>
    <m/>
    <m/>
    <m/>
    <m/>
    <m/>
    <m/>
    <m/>
    <m/>
    <m/>
    <m/>
    <m/>
    <m/>
    <m/>
    <m/>
    <n v="0"/>
    <n v="0"/>
    <n v="0"/>
    <m/>
    <m/>
    <m/>
    <n v="8034"/>
    <n v="8057"/>
    <m/>
    <n v="6025"/>
    <n v="538"/>
    <m/>
    <n v="14059"/>
    <n v="8595"/>
    <m/>
    <n v="587"/>
    <n v="585"/>
    <m/>
    <n v="78890"/>
    <n v="13148.333333333334"/>
    <n v="3520"/>
  </r>
  <r>
    <x v="57"/>
    <s v="English"/>
    <s v="Ontario"/>
    <x v="6"/>
    <s v="North Bay"/>
    <n v="64043"/>
    <s v="50K-100K"/>
    <x v="0"/>
    <n v="10"/>
    <n v="301"/>
    <n v="3010"/>
    <m/>
    <x v="0"/>
    <s v="Evening"/>
    <s v="M-Sa"/>
    <s v="Quebecor/Sun Media"/>
    <s v="CCAB"/>
    <m/>
    <m/>
    <m/>
    <m/>
    <m/>
    <m/>
    <m/>
    <m/>
    <m/>
    <m/>
    <m/>
    <m/>
    <m/>
    <m/>
    <m/>
    <m/>
    <m/>
    <m/>
    <n v="0"/>
    <n v="0"/>
    <n v="0"/>
    <m/>
    <m/>
    <m/>
    <n v="8208"/>
    <n v="8623"/>
    <m/>
    <n v="231"/>
    <n v="237"/>
    <m/>
    <n v="8439"/>
    <n v="8860"/>
    <m/>
    <n v="477"/>
    <n v="468"/>
    <m/>
    <n v="51055"/>
    <n v="8509.1666666666661"/>
    <n v="2853"/>
  </r>
  <r>
    <x v="58"/>
    <s v="English"/>
    <s v="Ontario"/>
    <x v="6"/>
    <s v="Orillia"/>
    <n v="40731"/>
    <s v="&lt;50K"/>
    <x v="0"/>
    <n v="10"/>
    <n v="301"/>
    <n v="3010"/>
    <m/>
    <x v="0"/>
    <s v="Evening"/>
    <s v="M-Sa"/>
    <s v="Quebecor/Sun Media"/>
    <s v="PS"/>
    <m/>
    <m/>
    <m/>
    <m/>
    <m/>
    <m/>
    <m/>
    <m/>
    <m/>
    <m/>
    <m/>
    <m/>
    <m/>
    <m/>
    <m/>
    <m/>
    <m/>
    <m/>
    <n v="0"/>
    <n v="0"/>
    <n v="0"/>
    <m/>
    <m/>
    <m/>
    <n v="9157"/>
    <n v="6139"/>
    <m/>
    <m/>
    <m/>
    <m/>
    <n v="9157"/>
    <n v="6139"/>
    <m/>
    <m/>
    <m/>
    <m/>
    <n v="51924"/>
    <n v="8654"/>
    <n v="0"/>
  </r>
  <r>
    <x v="59"/>
    <s v="English"/>
    <s v="Ontario"/>
    <x v="6"/>
    <s v="Ottawa/Gatineau"/>
    <n v="1273300"/>
    <s v="1M+"/>
    <x v="0"/>
    <n v="10"/>
    <n v="310"/>
    <n v="3100"/>
    <s v="Aug 2012"/>
    <x v="0"/>
    <s v="Morning"/>
    <s v="M-Sa"/>
    <s v="Postmedia Network Inc."/>
    <s v="AAM"/>
    <n v="77777"/>
    <n v="89460"/>
    <m/>
    <n v="34759"/>
    <n v="13119"/>
    <m/>
    <n v="112536"/>
    <n v="102579"/>
    <m/>
    <n v="32796"/>
    <n v="13153"/>
    <m/>
    <n v="74394"/>
    <n v="84341"/>
    <m/>
    <n v="24297"/>
    <n v="9488"/>
    <m/>
    <n v="98691"/>
    <n v="93829"/>
    <n v="0"/>
    <n v="24869"/>
    <n v="10421"/>
    <m/>
    <n v="76085.5"/>
    <n v="86900.5"/>
    <m/>
    <n v="29528"/>
    <n v="11303.5"/>
    <m/>
    <n v="105613.5"/>
    <n v="98204"/>
    <m/>
    <n v="28832.5"/>
    <n v="11787"/>
    <m/>
    <n v="626271.5"/>
    <n v="104378.58333333333"/>
    <n v="155949.5"/>
  </r>
  <r>
    <x v="60"/>
    <s v="French"/>
    <s v="Ontario"/>
    <x v="6"/>
    <s v="Ottawa/Gatineau"/>
    <n v="1273300"/>
    <s v="1M+"/>
    <x v="1"/>
    <n v="10"/>
    <n v="195"/>
    <n v="1950"/>
    <m/>
    <x v="0"/>
    <s v="Morning"/>
    <s v="M-Sa"/>
    <s v="Power Corp. of Canada"/>
    <s v="AAM"/>
    <n v="27944"/>
    <n v="30445"/>
    <m/>
    <n v="8105"/>
    <n v="2614"/>
    <m/>
    <n v="36049"/>
    <n v="33059"/>
    <m/>
    <n v="5397"/>
    <n v="5414"/>
    <m/>
    <n v="26355"/>
    <n v="28619"/>
    <m/>
    <n v="7105"/>
    <n v="1049"/>
    <m/>
    <n v="33460"/>
    <n v="29668"/>
    <n v="0"/>
    <n v="3899"/>
    <n v="3607"/>
    <m/>
    <n v="27149.5"/>
    <n v="29532"/>
    <m/>
    <n v="7605"/>
    <n v="1831.5"/>
    <m/>
    <n v="34754.5"/>
    <n v="31363.5"/>
    <m/>
    <n v="4648"/>
    <n v="4510.5"/>
    <m/>
    <n v="205136"/>
    <n v="34189.333333333336"/>
    <n v="27750.5"/>
  </r>
  <r>
    <x v="61"/>
    <s v="English"/>
    <s v="Ontario"/>
    <x v="6"/>
    <s v="Ottawa/Gatineau"/>
    <n v="1273300"/>
    <s v="1M+"/>
    <x v="1"/>
    <n v="10"/>
    <n v="160"/>
    <n v="1600"/>
    <s v="Dec 2012"/>
    <x v="0"/>
    <s v="Morning"/>
    <s v="M-Su"/>
    <s v="Quebecor/Sun Media"/>
    <s v="CCAB"/>
    <m/>
    <m/>
    <m/>
    <m/>
    <m/>
    <m/>
    <m/>
    <m/>
    <m/>
    <m/>
    <m/>
    <m/>
    <m/>
    <m/>
    <m/>
    <m/>
    <m/>
    <m/>
    <n v="0"/>
    <n v="0"/>
    <n v="0"/>
    <m/>
    <m/>
    <m/>
    <n v="29069"/>
    <n v="25449"/>
    <n v="27332"/>
    <n v="10201"/>
    <n v="9022"/>
    <n v="8624"/>
    <n v="39270"/>
    <n v="34471"/>
    <n v="35956"/>
    <n v="6693"/>
    <n v="6413"/>
    <n v="6481"/>
    <n v="266777"/>
    <n v="38111"/>
    <n v="46359"/>
  </r>
  <r>
    <x v="62"/>
    <s v="English"/>
    <s v="Ontario"/>
    <x v="6"/>
    <s v="Ottawa/Gatineau"/>
    <n v="1273300"/>
    <s v="1M+"/>
    <x v="1"/>
    <n v="6"/>
    <n v="175"/>
    <n v="1050"/>
    <m/>
    <x v="1"/>
    <s v="Morning"/>
    <s v="M-F"/>
    <s v="Metro Intl.SA &amp; TorStar"/>
    <s v="CCAB"/>
    <m/>
    <m/>
    <m/>
    <m/>
    <m/>
    <m/>
    <m/>
    <m/>
    <m/>
    <m/>
    <m/>
    <m/>
    <m/>
    <m/>
    <m/>
    <m/>
    <m/>
    <m/>
    <m/>
    <m/>
    <m/>
    <m/>
    <m/>
    <m/>
    <m/>
    <m/>
    <m/>
    <n v="47730.2"/>
    <m/>
    <m/>
    <n v="47730.2"/>
    <m/>
    <m/>
    <m/>
    <m/>
    <m/>
    <n v="238651"/>
    <n v="47730.2"/>
    <n v="0"/>
  </r>
  <r>
    <x v="63"/>
    <s v="English"/>
    <s v="Ontario"/>
    <x v="6"/>
    <s v="Owen Sound"/>
    <n v="32092"/>
    <s v="&lt;50K"/>
    <x v="0"/>
    <n v="10"/>
    <n v="301"/>
    <n v="3010"/>
    <m/>
    <x v="0"/>
    <s v="Evening"/>
    <s v="M-Sa"/>
    <s v="Quebecor/Sun Media"/>
    <s v="PS"/>
    <m/>
    <m/>
    <m/>
    <m/>
    <m/>
    <m/>
    <m/>
    <m/>
    <m/>
    <m/>
    <m/>
    <m/>
    <m/>
    <m/>
    <m/>
    <m/>
    <m/>
    <m/>
    <n v="0"/>
    <n v="0"/>
    <n v="0"/>
    <m/>
    <m/>
    <m/>
    <n v="8983"/>
    <n v="8973"/>
    <m/>
    <n v="37"/>
    <n v="109"/>
    <n v="30275"/>
    <n v="9020"/>
    <n v="9082"/>
    <n v="30275"/>
    <m/>
    <m/>
    <m/>
    <n v="84457"/>
    <n v="14076.166666666666"/>
    <n v="0"/>
  </r>
  <r>
    <x v="64"/>
    <s v="English"/>
    <s v="Ontario"/>
    <x v="6"/>
    <s v="Pembroke"/>
    <n v="24017"/>
    <s v="&lt;50K"/>
    <x v="0"/>
    <n v="10"/>
    <n v="301"/>
    <n v="3010"/>
    <m/>
    <x v="0"/>
    <s v="Evening"/>
    <s v="T-Sa"/>
    <s v="Quebecor/Sun Media"/>
    <s v="CCAB"/>
    <m/>
    <m/>
    <m/>
    <m/>
    <m/>
    <m/>
    <m/>
    <m/>
    <m/>
    <m/>
    <m/>
    <m/>
    <m/>
    <m/>
    <m/>
    <m/>
    <m/>
    <m/>
    <n v="0"/>
    <n v="0"/>
    <n v="0"/>
    <m/>
    <m/>
    <m/>
    <n v="3331"/>
    <n v="3331"/>
    <m/>
    <m/>
    <m/>
    <m/>
    <n v="3331"/>
    <n v="3331"/>
    <m/>
    <m/>
    <m/>
    <m/>
    <n v="16655"/>
    <n v="3331"/>
    <n v="0"/>
  </r>
  <r>
    <x v="65"/>
    <s v="English"/>
    <s v="Ontario"/>
    <x v="6"/>
    <s v="Peterborough"/>
    <n v="122400"/>
    <s v="100K-500K"/>
    <x v="0"/>
    <n v="10"/>
    <n v="287"/>
    <n v="2870"/>
    <m/>
    <x v="0"/>
    <s v="Evening"/>
    <s v="M-Sa"/>
    <s v="Quebecor/Sun Media"/>
    <s v="CCAB"/>
    <m/>
    <m/>
    <m/>
    <m/>
    <m/>
    <m/>
    <m/>
    <m/>
    <m/>
    <m/>
    <m/>
    <m/>
    <m/>
    <m/>
    <m/>
    <m/>
    <m/>
    <m/>
    <n v="0"/>
    <n v="0"/>
    <n v="0"/>
    <m/>
    <m/>
    <m/>
    <n v="9653"/>
    <n v="9941"/>
    <m/>
    <n v="6667"/>
    <n v="760"/>
    <m/>
    <n v="16320"/>
    <n v="10701"/>
    <m/>
    <n v="703"/>
    <n v="702"/>
    <m/>
    <n v="92301"/>
    <n v="15383.5"/>
    <n v="4217"/>
  </r>
  <r>
    <x v="66"/>
    <s v="English"/>
    <s v="Ontario"/>
    <x v="6"/>
    <s v="Sarnia"/>
    <n v="89555"/>
    <s v="50K-100K"/>
    <x v="0"/>
    <n v="10"/>
    <n v="301"/>
    <n v="3010"/>
    <m/>
    <x v="0"/>
    <s v="Evening"/>
    <s v="M-Sa"/>
    <s v="Quebecor/Sun Media"/>
    <s v="CCAB"/>
    <m/>
    <m/>
    <m/>
    <m/>
    <m/>
    <m/>
    <m/>
    <m/>
    <m/>
    <m/>
    <m/>
    <m/>
    <m/>
    <m/>
    <m/>
    <m/>
    <m/>
    <m/>
    <n v="0"/>
    <n v="0"/>
    <n v="0"/>
    <m/>
    <m/>
    <m/>
    <n v="9067"/>
    <n v="9907"/>
    <m/>
    <n v="111"/>
    <n v="107"/>
    <m/>
    <n v="9178"/>
    <n v="10014"/>
    <m/>
    <n v="391"/>
    <n v="376"/>
    <m/>
    <n v="55904"/>
    <n v="9317.3333333333339"/>
    <n v="2331"/>
  </r>
  <r>
    <x v="67"/>
    <s v="English"/>
    <s v="Ontario"/>
    <x v="6"/>
    <s v="Sault Ste. Marie"/>
    <n v="79800"/>
    <s v="50K-100K"/>
    <x v="0"/>
    <n v="10"/>
    <n v="301"/>
    <n v="3010"/>
    <m/>
    <x v="0"/>
    <s v="Evening"/>
    <s v="M-Sa"/>
    <s v="Quebecor/Sun Media"/>
    <s v="CCAB"/>
    <m/>
    <m/>
    <m/>
    <m/>
    <m/>
    <m/>
    <m/>
    <m/>
    <m/>
    <m/>
    <m/>
    <m/>
    <m/>
    <m/>
    <m/>
    <m/>
    <m/>
    <m/>
    <n v="0"/>
    <n v="0"/>
    <n v="0"/>
    <m/>
    <m/>
    <m/>
    <n v="9550"/>
    <n v="9629"/>
    <m/>
    <n v="321"/>
    <n v="696"/>
    <m/>
    <n v="9871"/>
    <n v="10325"/>
    <m/>
    <n v="307"/>
    <n v="298"/>
    <m/>
    <n v="59680"/>
    <n v="9946.6666666666661"/>
    <n v="1833"/>
  </r>
  <r>
    <x v="68"/>
    <s v="English"/>
    <s v="Ontario"/>
    <x v="6"/>
    <s v="Simcoe"/>
    <n v="14777"/>
    <s v="&lt;50K"/>
    <x v="0"/>
    <n v="10"/>
    <n v="301"/>
    <n v="3010"/>
    <m/>
    <x v="0"/>
    <s v="Evening"/>
    <s v="T-Sa"/>
    <s v="Quebecor/Sun Media"/>
    <s v="PS"/>
    <m/>
    <m/>
    <m/>
    <m/>
    <m/>
    <m/>
    <m/>
    <m/>
    <m/>
    <m/>
    <m/>
    <m/>
    <m/>
    <m/>
    <m/>
    <m/>
    <m/>
    <m/>
    <n v="0"/>
    <n v="0"/>
    <n v="0"/>
    <m/>
    <m/>
    <m/>
    <n v="4400"/>
    <n v="4400"/>
    <m/>
    <m/>
    <m/>
    <n v="25341"/>
    <n v="4400"/>
    <n v="4400"/>
    <n v="25341"/>
    <n v="116"/>
    <n v="116"/>
    <m/>
    <n v="47341"/>
    <n v="9468.2000000000007"/>
    <n v="580"/>
  </r>
  <r>
    <x v="69"/>
    <s v="English"/>
    <s v="Ontario"/>
    <x v="6"/>
    <s v="St. Catharines"/>
    <n v="405800"/>
    <s v="100K-500K"/>
    <x v="0"/>
    <n v="10"/>
    <n v="301"/>
    <n v="3010"/>
    <m/>
    <x v="0"/>
    <s v="Evening"/>
    <s v="M-Sa"/>
    <s v="Quebecor/Sun Media"/>
    <s v="CCAB"/>
    <m/>
    <m/>
    <m/>
    <m/>
    <m/>
    <m/>
    <m/>
    <m/>
    <m/>
    <m/>
    <m/>
    <m/>
    <m/>
    <m/>
    <m/>
    <m/>
    <m/>
    <m/>
    <n v="0"/>
    <n v="0"/>
    <n v="0"/>
    <m/>
    <m/>
    <m/>
    <n v="13344"/>
    <n v="14485"/>
    <m/>
    <n v="11388"/>
    <n v="816"/>
    <m/>
    <n v="24732"/>
    <n v="15301"/>
    <m/>
    <n v="1021"/>
    <n v="1012"/>
    <m/>
    <n v="138961"/>
    <n v="23160.166666666668"/>
    <n v="6117"/>
  </r>
  <r>
    <x v="70"/>
    <s v="English"/>
    <s v="Ontario"/>
    <x v="6"/>
    <s v="St. Thomas"/>
    <n v="41688"/>
    <s v="&lt;50K"/>
    <x v="1"/>
    <n v="9"/>
    <n v="160"/>
    <n v="1440"/>
    <m/>
    <x v="0"/>
    <s v="Evening"/>
    <s v="T-Sa"/>
    <s v="Quebecor/Sun Media"/>
    <s v="CMCA"/>
    <m/>
    <m/>
    <m/>
    <m/>
    <m/>
    <m/>
    <m/>
    <m/>
    <m/>
    <m/>
    <m/>
    <m/>
    <m/>
    <m/>
    <m/>
    <m/>
    <m/>
    <m/>
    <n v="0"/>
    <n v="0"/>
    <n v="0"/>
    <m/>
    <m/>
    <m/>
    <n v="3293"/>
    <n v="3293"/>
    <m/>
    <m/>
    <m/>
    <m/>
    <n v="3293"/>
    <n v="3293"/>
    <m/>
    <n v="149"/>
    <m/>
    <m/>
    <n v="16465"/>
    <n v="3293"/>
    <n v="596"/>
  </r>
  <r>
    <x v="71"/>
    <s v="English"/>
    <s v="Ontario"/>
    <x v="6"/>
    <s v="Stratford"/>
    <n v="30886"/>
    <s v="&lt;50K"/>
    <x v="0"/>
    <n v="10"/>
    <n v="300"/>
    <n v="3000"/>
    <m/>
    <x v="0"/>
    <s v="Evening"/>
    <s v="M-Sa"/>
    <s v="Quebecor/Sun Media"/>
    <s v="CMCA"/>
    <m/>
    <m/>
    <m/>
    <m/>
    <m/>
    <m/>
    <m/>
    <m/>
    <m/>
    <m/>
    <m/>
    <m/>
    <m/>
    <m/>
    <m/>
    <m/>
    <m/>
    <m/>
    <n v="0"/>
    <n v="0"/>
    <n v="0"/>
    <m/>
    <m/>
    <m/>
    <n v="6444"/>
    <n v="6444"/>
    <m/>
    <n v="236"/>
    <n v="236"/>
    <n v="0"/>
    <n v="6680"/>
    <n v="6680"/>
    <m/>
    <n v="236"/>
    <n v="236"/>
    <m/>
    <n v="40080"/>
    <n v="6680"/>
    <n v="1416"/>
  </r>
  <r>
    <x v="72"/>
    <s v="English"/>
    <s v="Ontario"/>
    <x v="6"/>
    <s v="Sudbury"/>
    <n v="164000"/>
    <s v="100K-500K"/>
    <x v="0"/>
    <n v="10"/>
    <n v="301"/>
    <n v="3010"/>
    <m/>
    <x v="0"/>
    <s v="Evening"/>
    <s v="M-Sa"/>
    <s v="Quebecor/Sun Media"/>
    <s v="CCAB"/>
    <m/>
    <m/>
    <m/>
    <m/>
    <m/>
    <m/>
    <m/>
    <m/>
    <m/>
    <m/>
    <m/>
    <m/>
    <m/>
    <m/>
    <m/>
    <m/>
    <m/>
    <m/>
    <n v="0"/>
    <n v="0"/>
    <n v="0"/>
    <m/>
    <m/>
    <m/>
    <n v="9113"/>
    <n v="9852"/>
    <m/>
    <n v="338"/>
    <n v="328"/>
    <m/>
    <n v="9451"/>
    <n v="10180"/>
    <m/>
    <n v="489"/>
    <n v="470"/>
    <m/>
    <n v="57435"/>
    <n v="9572.5"/>
    <n v="2915"/>
  </r>
  <r>
    <x v="73"/>
    <s v="English"/>
    <s v="Ontario"/>
    <x v="6"/>
    <s v="Thunder Bay"/>
    <n v="127100"/>
    <s v="100K-500K"/>
    <x v="0"/>
    <n v="10"/>
    <n v="301"/>
    <n v="3010"/>
    <m/>
    <x v="0"/>
    <s v="Morning"/>
    <s v="M-Su"/>
    <s v="Continental Newspapers"/>
    <s v="AAM"/>
    <n v="17341"/>
    <n v="19079"/>
    <n v="17055"/>
    <n v="4217"/>
    <n v="1494"/>
    <n v="1336"/>
    <n v="21558"/>
    <n v="20573"/>
    <n v="18391"/>
    <n v="153"/>
    <n v="154"/>
    <n v="154"/>
    <n v="17094"/>
    <n v="18723"/>
    <n v="16772"/>
    <n v="3477"/>
    <n v="1204"/>
    <n v="1050"/>
    <n v="20571"/>
    <n v="19927"/>
    <n v="17822"/>
    <n v="251"/>
    <n v="252"/>
    <n v="252"/>
    <n v="17217.5"/>
    <n v="18901"/>
    <n v="16913.5"/>
    <n v="3847"/>
    <n v="1349"/>
    <n v="1193"/>
    <n v="21064.5"/>
    <n v="20250"/>
    <n v="18106.5"/>
    <n v="202"/>
    <n v="203"/>
    <n v="203"/>
    <n v="143679"/>
    <n v="20525.571428571428"/>
    <n v="1416"/>
  </r>
  <r>
    <x v="74"/>
    <s v="English"/>
    <s v="Ontario"/>
    <x v="6"/>
    <s v="Timmins"/>
    <n v="43165"/>
    <s v="&lt;50K"/>
    <x v="0"/>
    <n v="10"/>
    <n v="301"/>
    <n v="3010"/>
    <m/>
    <x v="0"/>
    <s v="Morning"/>
    <s v="M-Sa"/>
    <s v="Quebecor/Sun Media"/>
    <s v="PS"/>
    <m/>
    <m/>
    <m/>
    <m/>
    <m/>
    <m/>
    <m/>
    <m/>
    <m/>
    <m/>
    <m/>
    <m/>
    <m/>
    <m/>
    <m/>
    <m/>
    <m/>
    <m/>
    <n v="0"/>
    <n v="0"/>
    <n v="0"/>
    <m/>
    <m/>
    <m/>
    <n v="7118"/>
    <n v="7136"/>
    <m/>
    <m/>
    <m/>
    <m/>
    <n v="7118"/>
    <n v="7136"/>
    <m/>
    <m/>
    <m/>
    <m/>
    <n v="42726"/>
    <n v="7121"/>
    <n v="0"/>
  </r>
  <r>
    <x v="75"/>
    <s v="English"/>
    <s v="Ontario"/>
    <x v="6"/>
    <s v="Toronto"/>
    <n v="5941500"/>
    <s v="1M+"/>
    <x v="1"/>
    <n v="10"/>
    <n v="160"/>
    <n v="1600"/>
    <s v="Dec 2012"/>
    <x v="0"/>
    <s v="Morning"/>
    <s v="M-Su"/>
    <s v="Quebecor/Sun Media"/>
    <s v="CCAB"/>
    <m/>
    <m/>
    <m/>
    <m/>
    <m/>
    <m/>
    <m/>
    <m/>
    <m/>
    <m/>
    <m/>
    <m/>
    <m/>
    <m/>
    <m/>
    <m/>
    <m/>
    <m/>
    <n v="0"/>
    <n v="0"/>
    <n v="0"/>
    <m/>
    <m/>
    <m/>
    <n v="101620"/>
    <n v="94098"/>
    <n v="112991"/>
    <n v="32646"/>
    <n v="30507"/>
    <n v="58648"/>
    <n v="134266"/>
    <n v="124605"/>
    <n v="171639"/>
    <n v="21747"/>
    <n v="22442"/>
    <n v="22855"/>
    <n v="967574"/>
    <n v="138224.85714285713"/>
    <n v="154032"/>
  </r>
  <r>
    <x v="76"/>
    <s v="English"/>
    <s v="Ontario"/>
    <x v="6"/>
    <s v="Toronto"/>
    <n v="5941500"/>
    <s v="1M+"/>
    <x v="0"/>
    <n v="10"/>
    <n v="292"/>
    <n v="2920"/>
    <s v="Aug 2013"/>
    <x v="0"/>
    <s v="All-Day"/>
    <s v="M-Su"/>
    <s v="Torstar Corporation"/>
    <s v="CCAB"/>
    <m/>
    <m/>
    <m/>
    <m/>
    <m/>
    <m/>
    <m/>
    <m/>
    <m/>
    <m/>
    <m/>
    <m/>
    <m/>
    <m/>
    <m/>
    <m/>
    <m/>
    <m/>
    <n v="0"/>
    <n v="0"/>
    <n v="0"/>
    <m/>
    <m/>
    <m/>
    <n v="237141"/>
    <n v="339851"/>
    <n v="247435"/>
    <n v="95659"/>
    <n v="100591"/>
    <n v="45814"/>
    <n v="332800"/>
    <n v="440442"/>
    <n v="293249"/>
    <n v="53971"/>
    <n v="48984"/>
    <n v="48641"/>
    <n v="2397691"/>
    <n v="342527.28571428574"/>
    <n v="367480"/>
  </r>
  <r>
    <x v="77"/>
    <s v="Chinese"/>
    <s v="Ontario"/>
    <x v="6"/>
    <s v="Toronto"/>
    <n v="5941500"/>
    <s v="1M+"/>
    <x v="0"/>
    <n v="6"/>
    <m/>
    <n v="0"/>
    <m/>
    <x v="1"/>
    <s v="Morning"/>
    <s v="M-F"/>
    <s v="Independent"/>
    <s v="CCAB"/>
    <m/>
    <m/>
    <m/>
    <m/>
    <m/>
    <m/>
    <m/>
    <m/>
    <m/>
    <m/>
    <m/>
    <m/>
    <m/>
    <m/>
    <m/>
    <m/>
    <m/>
    <m/>
    <m/>
    <m/>
    <m/>
    <m/>
    <m/>
    <m/>
    <m/>
    <m/>
    <m/>
    <n v="13511"/>
    <m/>
    <m/>
    <n v="13511"/>
    <m/>
    <m/>
    <m/>
    <m/>
    <m/>
    <n v="67555"/>
    <n v="13511"/>
    <n v="0"/>
  </r>
  <r>
    <x v="78"/>
    <s v="English"/>
    <s v="Ontario"/>
    <x v="6"/>
    <s v="Toronto"/>
    <n v="5941500"/>
    <s v="1M+"/>
    <x v="1"/>
    <n v="6"/>
    <n v="175"/>
    <n v="1050"/>
    <m/>
    <x v="1"/>
    <s v="Morning"/>
    <s v="M-F"/>
    <s v="Metro Intl.SA &amp; TorStar"/>
    <s v="CCAB"/>
    <m/>
    <m/>
    <m/>
    <m/>
    <m/>
    <m/>
    <m/>
    <m/>
    <m/>
    <m/>
    <m/>
    <m/>
    <m/>
    <m/>
    <m/>
    <m/>
    <m/>
    <m/>
    <m/>
    <m/>
    <m/>
    <m/>
    <m/>
    <m/>
    <m/>
    <m/>
    <m/>
    <n v="220777.2"/>
    <m/>
    <m/>
    <n v="220777.2"/>
    <m/>
    <m/>
    <m/>
    <m/>
    <m/>
    <n v="1103886"/>
    <n v="220777.2"/>
    <n v="0"/>
  </r>
  <r>
    <x v="79"/>
    <s v="English"/>
    <s v="Ontario"/>
    <x v="6"/>
    <s v="Toronto"/>
    <n v="5941500"/>
    <s v="1M+"/>
    <x v="1"/>
    <n v="6"/>
    <n v="160"/>
    <n v="960"/>
    <m/>
    <x v="1"/>
    <s v="Morning"/>
    <s v="M-F"/>
    <s v="Quebecor/Sun Media"/>
    <s v="CCAB"/>
    <m/>
    <m/>
    <m/>
    <m/>
    <m/>
    <m/>
    <m/>
    <m/>
    <m/>
    <m/>
    <m/>
    <m/>
    <m/>
    <m/>
    <m/>
    <m/>
    <m/>
    <m/>
    <m/>
    <m/>
    <m/>
    <m/>
    <m/>
    <m/>
    <m/>
    <m/>
    <m/>
    <n v="219198.8"/>
    <m/>
    <m/>
    <n v="219198.8"/>
    <m/>
    <m/>
    <m/>
    <m/>
    <m/>
    <n v="1095994"/>
    <n v="219198.8"/>
    <n v="0"/>
  </r>
  <r>
    <x v="80"/>
    <s v="English"/>
    <s v="Ontario"/>
    <x v="6"/>
    <s v="Waterloo"/>
    <n v="98780"/>
    <s v="50K-100K"/>
    <x v="0"/>
    <n v="10"/>
    <n v="307"/>
    <n v="3070"/>
    <m/>
    <x v="0"/>
    <s v="Evening"/>
    <s v="M-Sa"/>
    <s v="Torstar Corporation"/>
    <s v="CCAB"/>
    <m/>
    <m/>
    <m/>
    <m/>
    <m/>
    <m/>
    <m/>
    <m/>
    <m/>
    <m/>
    <m/>
    <m/>
    <m/>
    <m/>
    <m/>
    <m/>
    <m/>
    <m/>
    <n v="0"/>
    <n v="0"/>
    <n v="0"/>
    <m/>
    <m/>
    <m/>
    <n v="46171"/>
    <n v="48107"/>
    <m/>
    <n v="10424"/>
    <n v="7359"/>
    <m/>
    <n v="56595"/>
    <n v="55466"/>
    <m/>
    <n v="8234"/>
    <n v="6371"/>
    <m/>
    <n v="338441"/>
    <n v="56406.833333333336"/>
    <n v="47541"/>
  </r>
  <r>
    <x v="81"/>
    <s v="English"/>
    <s v="Ontario"/>
    <x v="6"/>
    <s v="Welland"/>
    <n v="50631"/>
    <s v="50K-100K"/>
    <x v="0"/>
    <n v="10"/>
    <n v="301"/>
    <n v="3010"/>
    <m/>
    <x v="0"/>
    <s v="Morning"/>
    <s v="M-Sa"/>
    <s v="Quebecor/Sun Media"/>
    <s v="CCAB"/>
    <m/>
    <m/>
    <m/>
    <m/>
    <m/>
    <m/>
    <m/>
    <m/>
    <m/>
    <m/>
    <m/>
    <m/>
    <m/>
    <m/>
    <m/>
    <m/>
    <m/>
    <m/>
    <n v="0"/>
    <n v="0"/>
    <n v="0"/>
    <m/>
    <m/>
    <m/>
    <n v="7495"/>
    <n v="7589"/>
    <m/>
    <n v="3465"/>
    <n v="373"/>
    <m/>
    <n v="10960"/>
    <n v="7962"/>
    <m/>
    <n v="566"/>
    <n v="566"/>
    <m/>
    <n v="62762"/>
    <n v="10460.333333333334"/>
    <n v="3396"/>
  </r>
  <r>
    <x v="82"/>
    <s v="English"/>
    <s v="Ontario"/>
    <x v="6"/>
    <s v="Windsor"/>
    <n v="333400"/>
    <s v="100K-500K"/>
    <x v="0"/>
    <n v="10"/>
    <n v="297"/>
    <n v="2970"/>
    <s v="May 2013"/>
    <x v="0"/>
    <s v="Morning"/>
    <s v="M-Sa"/>
    <s v="Postmedia Network Inc."/>
    <s v="AAM"/>
    <n v="40027"/>
    <n v="44329"/>
    <m/>
    <n v="15452"/>
    <n v="11287"/>
    <m/>
    <n v="55479"/>
    <n v="55616"/>
    <m/>
    <n v="14501"/>
    <n v="10457"/>
    <m/>
    <n v="39450"/>
    <n v="43227"/>
    <m/>
    <n v="13308"/>
    <n v="10691"/>
    <m/>
    <n v="52758"/>
    <n v="53918"/>
    <n v="0"/>
    <n v="13478"/>
    <n v="10478"/>
    <m/>
    <n v="39738.5"/>
    <n v="43778"/>
    <m/>
    <n v="14380"/>
    <n v="10989"/>
    <m/>
    <n v="54118.5"/>
    <n v="54767"/>
    <m/>
    <n v="13989.5"/>
    <n v="10467.5"/>
    <m/>
    <n v="325359.5"/>
    <n v="54226.583333333336"/>
    <n v="80415"/>
  </r>
  <r>
    <x v="83"/>
    <s v="English"/>
    <s v="Ontario"/>
    <x v="6"/>
    <s v="Woodstock"/>
    <n v="37754"/>
    <s v="&lt;50K"/>
    <x v="0"/>
    <n v="10"/>
    <n v="301"/>
    <n v="3010"/>
    <m/>
    <x v="0"/>
    <s v="Evening"/>
    <s v="M-Sa"/>
    <s v="Quebecor/Sun Media"/>
    <s v="PS"/>
    <m/>
    <m/>
    <m/>
    <m/>
    <m/>
    <m/>
    <m/>
    <m/>
    <m/>
    <m/>
    <m/>
    <m/>
    <m/>
    <m/>
    <m/>
    <m/>
    <m/>
    <m/>
    <n v="0"/>
    <n v="0"/>
    <n v="0"/>
    <m/>
    <m/>
    <m/>
    <n v="3713"/>
    <n v="3713"/>
    <m/>
    <m/>
    <m/>
    <m/>
    <n v="3713"/>
    <n v="3713"/>
    <m/>
    <n v="15"/>
    <n v="15"/>
    <m/>
    <n v="22278"/>
    <n v="3713"/>
    <n v="90"/>
  </r>
  <r>
    <x v="84"/>
    <s v="English"/>
    <s v="Atlantic"/>
    <x v="7"/>
    <s v="Charlottetown"/>
    <n v="64487"/>
    <s v="50K-100K"/>
    <x v="0"/>
    <n v="10"/>
    <n v="301"/>
    <n v="3010"/>
    <s v="May 2013"/>
    <x v="0"/>
    <s v="Morning"/>
    <s v="M-Sa"/>
    <s v="TC Media"/>
    <s v="CCAB"/>
    <m/>
    <m/>
    <m/>
    <m/>
    <m/>
    <m/>
    <m/>
    <m/>
    <m/>
    <m/>
    <m/>
    <m/>
    <m/>
    <m/>
    <m/>
    <m/>
    <m/>
    <m/>
    <n v="0"/>
    <n v="0"/>
    <n v="0"/>
    <m/>
    <m/>
    <m/>
    <n v="14022"/>
    <n v="14921"/>
    <m/>
    <n v="896"/>
    <n v="447"/>
    <m/>
    <n v="14918"/>
    <n v="15368"/>
    <m/>
    <n v="137"/>
    <n v="134"/>
    <m/>
    <n v="89958"/>
    <n v="14993"/>
    <n v="819"/>
  </r>
  <r>
    <x v="85"/>
    <s v="English"/>
    <s v="Atlantic"/>
    <x v="7"/>
    <s v="Summerside"/>
    <n v="16488"/>
    <s v="&lt;50K"/>
    <x v="0"/>
    <n v="10"/>
    <n v="301"/>
    <n v="3010"/>
    <s v="Nov 2013"/>
    <x v="0"/>
    <s v="Evening"/>
    <s v="M-Sa"/>
    <s v="TC Media"/>
    <s v="CCAB"/>
    <m/>
    <m/>
    <m/>
    <m/>
    <m/>
    <m/>
    <m/>
    <m/>
    <m/>
    <m/>
    <m/>
    <m/>
    <m/>
    <m/>
    <m/>
    <m/>
    <m/>
    <m/>
    <n v="0"/>
    <n v="0"/>
    <n v="0"/>
    <m/>
    <m/>
    <m/>
    <n v="5835"/>
    <n v="5965"/>
    <m/>
    <n v="181"/>
    <n v="124"/>
    <m/>
    <n v="6016"/>
    <n v="6089"/>
    <m/>
    <n v="33"/>
    <n v="33"/>
    <m/>
    <n v="36169"/>
    <n v="6028.166666666667"/>
    <n v="198"/>
  </r>
  <r>
    <x v="86"/>
    <s v="French"/>
    <s v="Québec"/>
    <x v="8"/>
    <s v="Chicoutimi"/>
    <n v="106666"/>
    <s v="100K-500K"/>
    <x v="1"/>
    <n v="10"/>
    <n v="195"/>
    <n v="1950"/>
    <m/>
    <x v="0"/>
    <s v="Morning"/>
    <s v="M-Su"/>
    <s v="Power Corp. of Canada"/>
    <s v="AAM"/>
    <n v="25399"/>
    <n v="24699"/>
    <n v="29682"/>
    <n v="2393"/>
    <n v="4595"/>
    <n v="1677"/>
    <n v="27792"/>
    <n v="29294"/>
    <n v="31359"/>
    <n v="3885"/>
    <n v="4290"/>
    <n v="3812"/>
    <n v="23480"/>
    <n v="22676"/>
    <n v="27527"/>
    <n v="1264"/>
    <n v="652"/>
    <n v="4865"/>
    <n v="24744"/>
    <n v="23328"/>
    <n v="32392"/>
    <n v="3981"/>
    <n v="3981"/>
    <n v="3760"/>
    <n v="24439.5"/>
    <n v="23687.5"/>
    <n v="28604.5"/>
    <n v="1828.5"/>
    <n v="2623.5"/>
    <n v="3271"/>
    <n v="26268"/>
    <n v="26311"/>
    <n v="31875.5"/>
    <n v="3933"/>
    <n v="4135.5"/>
    <n v="3786"/>
    <n v="189526.5"/>
    <n v="27075.214285714286"/>
    <n v="27586.5"/>
  </r>
  <r>
    <x v="87"/>
    <s v="French"/>
    <s v="Québec"/>
    <x v="8"/>
    <s v="Granby"/>
    <n v="77077"/>
    <s v="50K-100K"/>
    <x v="1"/>
    <n v="10"/>
    <n v="200"/>
    <n v="2000"/>
    <m/>
    <x v="0"/>
    <s v="Morning"/>
    <s v="M-Sa"/>
    <s v="Power Corp. of Canada"/>
    <s v="AAM"/>
    <n v="12443"/>
    <n v="14058"/>
    <m/>
    <n v="2217"/>
    <n v="635"/>
    <m/>
    <n v="14660"/>
    <n v="14693"/>
    <m/>
    <n v="1204"/>
    <n v="1610"/>
    <m/>
    <n v="12019"/>
    <n v="13503"/>
    <m/>
    <n v="5516"/>
    <n v="358"/>
    <m/>
    <n v="17535"/>
    <n v="13861"/>
    <n v="0"/>
    <n v="1348"/>
    <n v="1345"/>
    <m/>
    <n v="12231"/>
    <n v="13780.5"/>
    <m/>
    <n v="3866.5"/>
    <n v="496.5"/>
    <m/>
    <n v="16097.5"/>
    <n v="14277"/>
    <m/>
    <n v="1276"/>
    <n v="1477.5"/>
    <m/>
    <n v="94764.5"/>
    <n v="15794.083333333334"/>
    <n v="7857.5"/>
  </r>
  <r>
    <x v="88"/>
    <s v="French"/>
    <s v="Québec"/>
    <x v="8"/>
    <s v="Montreal"/>
    <n v="3957700"/>
    <s v="1M+"/>
    <x v="0"/>
    <n v="12"/>
    <n v="290"/>
    <n v="3480"/>
    <m/>
    <x v="0"/>
    <s v="Morning"/>
    <s v="M-Sa"/>
    <s v="Independent"/>
    <s v="AAM"/>
    <n v="29182"/>
    <n v="48605"/>
    <m/>
    <n v="3230"/>
    <n v="6199"/>
    <m/>
    <n v="32412"/>
    <n v="54804"/>
    <m/>
    <n v="8354"/>
    <n v="10209"/>
    <m/>
    <n v="27827"/>
    <n v="45831"/>
    <m/>
    <n v="3884"/>
    <n v="7275"/>
    <m/>
    <n v="31711"/>
    <n v="53106"/>
    <n v="0"/>
    <n v="9290"/>
    <n v="11845"/>
    <m/>
    <n v="28504.5"/>
    <n v="47218"/>
    <m/>
    <n v="3557"/>
    <n v="6737"/>
    <m/>
    <n v="32061.5"/>
    <n v="53955"/>
    <m/>
    <n v="8822"/>
    <n v="11027"/>
    <m/>
    <n v="214262.5"/>
    <n v="35710.416666666664"/>
    <n v="55137"/>
  </r>
  <r>
    <x v="89"/>
    <s v="English"/>
    <s v="Québec"/>
    <x v="8"/>
    <s v="Montreal"/>
    <n v="3957700"/>
    <s v="1M+"/>
    <x v="0"/>
    <n v="10"/>
    <n v="292"/>
    <n v="2920"/>
    <s v="May 2011"/>
    <x v="0"/>
    <s v="Morning"/>
    <s v="M-Sa"/>
    <s v="Postmedia Network Inc."/>
    <s v="AAM"/>
    <n v="60889"/>
    <n v="79541"/>
    <m/>
    <n v="33514"/>
    <n v="29992"/>
    <m/>
    <n v="94403"/>
    <n v="109533"/>
    <m/>
    <n v="30400"/>
    <n v="29050"/>
    <m/>
    <n v="60229"/>
    <n v="78689"/>
    <m/>
    <n v="22676"/>
    <n v="20128"/>
    <m/>
    <n v="82905"/>
    <n v="98817"/>
    <n v="0"/>
    <n v="22331"/>
    <n v="21231"/>
    <m/>
    <n v="60559"/>
    <n v="79115"/>
    <m/>
    <n v="28095"/>
    <n v="25060"/>
    <m/>
    <n v="88654"/>
    <n v="104175"/>
    <m/>
    <n v="26365.5"/>
    <n v="25140.5"/>
    <m/>
    <n v="547445"/>
    <n v="91240.833333333328"/>
    <n v="156968"/>
  </r>
  <r>
    <x v="90"/>
    <s v="French"/>
    <s v="Québec"/>
    <x v="8"/>
    <s v="Montreal"/>
    <n v="3957700"/>
    <s v="1M+"/>
    <x v="0"/>
    <m/>
    <m/>
    <n v="0"/>
    <m/>
    <x v="0"/>
    <s v="Morning"/>
    <s v="M-Sa"/>
    <s v="Power Corp. of Canada"/>
    <s v="AAM"/>
    <n v="142462"/>
    <n v="195377"/>
    <m/>
    <n v="138843"/>
    <n v="145050"/>
    <m/>
    <n v="281305"/>
    <n v="340427"/>
    <m/>
    <n v="128145"/>
    <n v="138466"/>
    <m/>
    <n v="122862"/>
    <n v="171293"/>
    <m/>
    <n v="153497"/>
    <n v="168850"/>
    <m/>
    <n v="276359"/>
    <n v="340143"/>
    <n v="0"/>
    <n v="158491"/>
    <n v="168213"/>
    <m/>
    <n v="132662"/>
    <n v="183335"/>
    <m/>
    <n v="146170"/>
    <n v="156950"/>
    <m/>
    <n v="278832"/>
    <n v="340285"/>
    <m/>
    <n v="143318"/>
    <n v="153339.5"/>
    <m/>
    <n v="1734445"/>
    <n v="289074.16666666669"/>
    <n v="869929.5"/>
  </r>
  <r>
    <x v="91"/>
    <s v="French"/>
    <s v="Québec"/>
    <x v="8"/>
    <s v="Montreal"/>
    <n v="3957700"/>
    <s v="1M+"/>
    <x v="1"/>
    <n v="8"/>
    <n v="176"/>
    <n v="1408"/>
    <s v="Sept 2012"/>
    <x v="0"/>
    <s v="Morning"/>
    <s v="M-Su"/>
    <s v="Quebecor/Sun Media"/>
    <s v="CCAB"/>
    <m/>
    <m/>
    <m/>
    <m/>
    <m/>
    <m/>
    <m/>
    <m/>
    <m/>
    <m/>
    <m/>
    <m/>
    <m/>
    <m/>
    <m/>
    <m/>
    <m/>
    <m/>
    <n v="0"/>
    <n v="0"/>
    <n v="0"/>
    <m/>
    <m/>
    <m/>
    <n v="180332"/>
    <n v="195943"/>
    <n v="182625"/>
    <n v="51805"/>
    <n v="48014"/>
    <n v="46459"/>
    <n v="232137"/>
    <n v="243957"/>
    <n v="229084"/>
    <n v="39820"/>
    <n v="40290"/>
    <n v="39397"/>
    <n v="1633726"/>
    <n v="233389.42857142858"/>
    <n v="278787"/>
  </r>
  <r>
    <x v="92"/>
    <s v="French"/>
    <s v="Québec"/>
    <x v="8"/>
    <s v="Montreal"/>
    <n v="3957700"/>
    <s v="1M+"/>
    <x v="1"/>
    <n v="6"/>
    <n v="160"/>
    <n v="960"/>
    <m/>
    <x v="1"/>
    <s v="Morning"/>
    <s v="M-F"/>
    <s v="Quebecor/Sun Media"/>
    <s v="CCAB"/>
    <m/>
    <m/>
    <m/>
    <m/>
    <m/>
    <m/>
    <m/>
    <m/>
    <m/>
    <m/>
    <m/>
    <m/>
    <m/>
    <m/>
    <m/>
    <m/>
    <m/>
    <m/>
    <m/>
    <m/>
    <m/>
    <m/>
    <m/>
    <m/>
    <m/>
    <m/>
    <m/>
    <n v="150238.6"/>
    <m/>
    <m/>
    <n v="150238.6"/>
    <m/>
    <m/>
    <m/>
    <m/>
    <m/>
    <n v="751193"/>
    <n v="150238.6"/>
    <n v="0"/>
  </r>
  <r>
    <x v="93"/>
    <s v="French"/>
    <s v="Québec"/>
    <x v="8"/>
    <s v="Montreal"/>
    <n v="3957700"/>
    <s v="1M+"/>
    <x v="1"/>
    <n v="6"/>
    <n v="196"/>
    <n v="1176"/>
    <m/>
    <x v="1"/>
    <s v="Morning"/>
    <s v="M-F"/>
    <s v="TC Media"/>
    <s v="CCAB"/>
    <m/>
    <m/>
    <m/>
    <m/>
    <m/>
    <m/>
    <m/>
    <m/>
    <m/>
    <m/>
    <m/>
    <m/>
    <m/>
    <m/>
    <m/>
    <m/>
    <m/>
    <m/>
    <m/>
    <m/>
    <m/>
    <m/>
    <m/>
    <m/>
    <m/>
    <m/>
    <m/>
    <n v="172002"/>
    <m/>
    <m/>
    <n v="172002"/>
    <m/>
    <m/>
    <m/>
    <m/>
    <m/>
    <n v="860010"/>
    <n v="172002"/>
    <n v="0"/>
  </r>
  <r>
    <x v="94"/>
    <s v="French"/>
    <s v="Québec"/>
    <x v="8"/>
    <s v="Quebec City"/>
    <n v="769600"/>
    <s v="500K-1M"/>
    <x v="1"/>
    <n v="10"/>
    <n v="195"/>
    <n v="1950"/>
    <m/>
    <x v="0"/>
    <s v="Morning"/>
    <s v="M-Su"/>
    <s v="Power Corp. of Canada"/>
    <s v="AAM"/>
    <n v="70904"/>
    <n v="84537"/>
    <n v="75626"/>
    <n v="6098"/>
    <n v="13021"/>
    <n v="5763"/>
    <n v="77002"/>
    <n v="97558"/>
    <n v="81389"/>
    <n v="9685"/>
    <n v="9705"/>
    <n v="9707"/>
    <n v="66857"/>
    <n v="78366"/>
    <n v="71377"/>
    <n v="6888"/>
    <n v="16823"/>
    <n v="7370"/>
    <n v="73745"/>
    <n v="95189"/>
    <n v="78747"/>
    <n v="8632"/>
    <n v="8797"/>
    <n v="8759"/>
    <n v="68880.5"/>
    <n v="81451.5"/>
    <n v="73501.5"/>
    <n v="6493"/>
    <n v="14922"/>
    <n v="6566.5"/>
    <n v="75373.5"/>
    <n v="96373.5"/>
    <n v="80068"/>
    <n v="9158.5"/>
    <n v="9251"/>
    <n v="9233"/>
    <n v="553309"/>
    <n v="79044.142857142855"/>
    <n v="64276.5"/>
  </r>
  <r>
    <x v="95"/>
    <s v="French"/>
    <s v="Québec"/>
    <x v="8"/>
    <s v="Quebec City"/>
    <n v="769600"/>
    <s v="500K-1M"/>
    <x v="1"/>
    <n v="8"/>
    <n v="176"/>
    <n v="1408"/>
    <s v="Sept 2012"/>
    <x v="0"/>
    <s v="Morning"/>
    <s v="M-Su"/>
    <s v="Quebecor/Sun Media"/>
    <s v="CCAB"/>
    <m/>
    <m/>
    <m/>
    <m/>
    <m/>
    <m/>
    <m/>
    <m/>
    <m/>
    <m/>
    <m/>
    <m/>
    <m/>
    <m/>
    <m/>
    <m/>
    <m/>
    <m/>
    <n v="0"/>
    <n v="0"/>
    <n v="0"/>
    <m/>
    <m/>
    <m/>
    <n v="82048"/>
    <n v="89989"/>
    <n v="82537"/>
    <n v="67587"/>
    <n v="67673"/>
    <n v="67116"/>
    <n v="149635"/>
    <n v="157662"/>
    <n v="149653"/>
    <n v="61683"/>
    <n v="61374"/>
    <n v="61326"/>
    <n v="1055490"/>
    <n v="150784.28571428571"/>
    <n v="431115"/>
  </r>
  <r>
    <x v="96"/>
    <s v="English"/>
    <s v="Québec"/>
    <x v="8"/>
    <s v="Sherbrooke"/>
    <n v="203500"/>
    <s v="100K-500K"/>
    <x v="1"/>
    <n v="8"/>
    <n v="195"/>
    <n v="1560"/>
    <m/>
    <x v="0"/>
    <s v="Morning"/>
    <s v="M-F"/>
    <s v="Glacier/AB Newspaper Group"/>
    <s v="PS"/>
    <n v="4294"/>
    <m/>
    <m/>
    <n v="0"/>
    <m/>
    <m/>
    <n v="4294"/>
    <n v="0"/>
    <n v="0"/>
    <m/>
    <m/>
    <m/>
    <n v="4003"/>
    <m/>
    <m/>
    <n v="389"/>
    <m/>
    <m/>
    <n v="4392"/>
    <n v="0"/>
    <n v="0"/>
    <n v="261"/>
    <m/>
    <m/>
    <n v="4148.5"/>
    <m/>
    <m/>
    <n v="194.5"/>
    <m/>
    <m/>
    <n v="4343"/>
    <m/>
    <m/>
    <n v="261"/>
    <m/>
    <m/>
    <n v="21715"/>
    <n v="4343"/>
    <n v="1305"/>
  </r>
  <r>
    <x v="97"/>
    <s v="French"/>
    <s v="Québec"/>
    <x v="8"/>
    <s v="Sherbrooke"/>
    <n v="203500"/>
    <s v="100K-500K"/>
    <x v="1"/>
    <n v="10"/>
    <n v="195"/>
    <n v="1950"/>
    <m/>
    <x v="0"/>
    <s v="Morning"/>
    <s v="M-Sa"/>
    <s v="Power Corp. of Canada"/>
    <s v="AAM"/>
    <n v="27075"/>
    <n v="32551"/>
    <m/>
    <n v="4092"/>
    <n v="1305"/>
    <m/>
    <n v="31167"/>
    <n v="33856"/>
    <m/>
    <n v="1718"/>
    <n v="3253"/>
    <m/>
    <n v="25308"/>
    <n v="31808"/>
    <m/>
    <n v="2915"/>
    <n v="956"/>
    <m/>
    <n v="28223"/>
    <n v="32764"/>
    <n v="0"/>
    <n v="1657"/>
    <n v="3072"/>
    <m/>
    <n v="26191.5"/>
    <n v="32179.5"/>
    <m/>
    <n v="3503.5"/>
    <n v="1130.5"/>
    <m/>
    <n v="29695"/>
    <n v="33310"/>
    <m/>
    <n v="1687.5"/>
    <n v="3162.5"/>
    <m/>
    <n v="181785"/>
    <n v="30297.5"/>
    <n v="11600"/>
  </r>
  <r>
    <x v="98"/>
    <s v="French"/>
    <s v="Québec"/>
    <x v="8"/>
    <s v="Trois-Rivieres"/>
    <n v="148300"/>
    <s v="100K-500K"/>
    <x v="0"/>
    <n v="10"/>
    <n v="200"/>
    <n v="2000"/>
    <m/>
    <x v="0"/>
    <s v="Morning"/>
    <s v="M-Sa"/>
    <s v="Power Corp. of Canada"/>
    <s v="AAM"/>
    <n v="35634"/>
    <n v="35245"/>
    <m/>
    <n v="8728"/>
    <n v="10227"/>
    <m/>
    <n v="44362"/>
    <n v="45472"/>
    <m/>
    <n v="6545"/>
    <n v="8891"/>
    <m/>
    <n v="37221"/>
    <n v="41377"/>
    <m/>
    <n v="3309"/>
    <n v="1821"/>
    <m/>
    <n v="40530"/>
    <n v="43198"/>
    <n v="0"/>
    <n v="6388"/>
    <n v="8738"/>
    <m/>
    <n v="36427.5"/>
    <n v="38311"/>
    <m/>
    <n v="6018.5"/>
    <n v="6024"/>
    <m/>
    <n v="42446"/>
    <n v="44335"/>
    <m/>
    <n v="6466.5"/>
    <n v="8814.5"/>
    <m/>
    <n v="256565"/>
    <n v="42760.833333333336"/>
    <n v="41147"/>
  </r>
  <r>
    <x v="99"/>
    <s v="English"/>
    <s v="Prairies"/>
    <x v="9"/>
    <s v="Moose Jaw"/>
    <n v="34421"/>
    <s v="&lt;50K"/>
    <x v="0"/>
    <n v="10"/>
    <n v="301"/>
    <n v="3010"/>
    <m/>
    <x v="0"/>
    <s v="Evening"/>
    <s v="M-Sa"/>
    <s v="TC Media"/>
    <s v="PS"/>
    <m/>
    <m/>
    <m/>
    <m/>
    <m/>
    <m/>
    <m/>
    <m/>
    <m/>
    <m/>
    <m/>
    <m/>
    <m/>
    <m/>
    <m/>
    <m/>
    <m/>
    <m/>
    <n v="0"/>
    <n v="0"/>
    <n v="0"/>
    <m/>
    <m/>
    <m/>
    <n v="4042"/>
    <n v="4042"/>
    <m/>
    <n v="10783"/>
    <n v="10783"/>
    <m/>
    <n v="14825"/>
    <n v="14825"/>
    <m/>
    <n v="6937"/>
    <n v="6937"/>
    <m/>
    <n v="88950"/>
    <n v="14825"/>
    <n v="41622"/>
  </r>
  <r>
    <x v="100"/>
    <s v="English"/>
    <s v="Prairies"/>
    <x v="9"/>
    <s v="Prince Albert"/>
    <n v="42673"/>
    <s v="&lt;50K"/>
    <x v="0"/>
    <n v="6"/>
    <n v="301"/>
    <n v="1806"/>
    <s v="June 2014"/>
    <x v="0"/>
    <s v="Morning"/>
    <s v="M-Sa"/>
    <s v="TC Media"/>
    <s v="CCAB"/>
    <m/>
    <m/>
    <m/>
    <m/>
    <m/>
    <m/>
    <m/>
    <m/>
    <m/>
    <m/>
    <m/>
    <m/>
    <m/>
    <m/>
    <m/>
    <m/>
    <m/>
    <m/>
    <n v="0"/>
    <n v="0"/>
    <n v="0"/>
    <m/>
    <m/>
    <m/>
    <n v="5197"/>
    <n v="5440"/>
    <m/>
    <m/>
    <m/>
    <m/>
    <n v="5197"/>
    <n v="5440"/>
    <m/>
    <m/>
    <m/>
    <m/>
    <n v="31425"/>
    <n v="5237.5"/>
    <n v="0"/>
  </r>
  <r>
    <x v="101"/>
    <s v="English"/>
    <s v="Prairies"/>
    <x v="9"/>
    <s v="Regina"/>
    <n v="226300"/>
    <s v="100K-500K"/>
    <x v="0"/>
    <n v="10"/>
    <n v="300"/>
    <n v="3000"/>
    <s v="May 2013"/>
    <x v="0"/>
    <s v="Morning"/>
    <s v="M-Sa"/>
    <s v="Postmedia Network Inc."/>
    <s v="AAM"/>
    <n v="30340"/>
    <n v="32584"/>
    <m/>
    <n v="6743"/>
    <n v="5100"/>
    <m/>
    <n v="37083"/>
    <n v="37684"/>
    <m/>
    <n v="7634"/>
    <n v="5907"/>
    <m/>
    <n v="29060"/>
    <n v="31207"/>
    <m/>
    <n v="6939"/>
    <n v="5761"/>
    <m/>
    <n v="35999"/>
    <n v="36968"/>
    <n v="0"/>
    <n v="8163"/>
    <n v="6716"/>
    <m/>
    <n v="29700"/>
    <n v="31895.5"/>
    <m/>
    <n v="6841"/>
    <n v="5430.5"/>
    <m/>
    <n v="36541"/>
    <n v="37326"/>
    <m/>
    <n v="7898.5"/>
    <n v="6311.5"/>
    <m/>
    <n v="220031"/>
    <n v="36671.833333333336"/>
    <n v="45804"/>
  </r>
  <r>
    <x v="102"/>
    <s v="English"/>
    <s v="Prairies"/>
    <x v="9"/>
    <s v="Saskatoon"/>
    <n v="284000"/>
    <s v="100K-500K"/>
    <x v="0"/>
    <n v="10"/>
    <n v="293"/>
    <n v="2930"/>
    <s v="May 2013"/>
    <x v="0"/>
    <s v="Morning"/>
    <s v="M-Sa"/>
    <s v="Postmedia Network Inc."/>
    <s v="AAM"/>
    <n v="35180"/>
    <n v="38209"/>
    <m/>
    <n v="9383"/>
    <n v="6133"/>
    <m/>
    <n v="44563"/>
    <n v="44342"/>
    <m/>
    <n v="10134"/>
    <n v="6985"/>
    <m/>
    <n v="33807"/>
    <n v="36951"/>
    <m/>
    <n v="8815"/>
    <n v="6163"/>
    <m/>
    <n v="42622"/>
    <n v="43114"/>
    <n v="0"/>
    <n v="10106"/>
    <n v="7457"/>
    <m/>
    <n v="34493.5"/>
    <n v="37580"/>
    <m/>
    <n v="9099"/>
    <n v="6148"/>
    <m/>
    <n v="43592.5"/>
    <n v="43728"/>
    <m/>
    <n v="10120"/>
    <n v="7221"/>
    <m/>
    <n v="261690.5"/>
    <n v="43615.083333333336"/>
    <n v="57821"/>
  </r>
  <r>
    <x v="103"/>
    <s v="English"/>
    <s v="BC &amp; Yukon"/>
    <x v="10"/>
    <s v="Whitehorse"/>
    <n v="26028"/>
    <s v="&lt;50K"/>
    <x v="1"/>
    <n v="5"/>
    <n v="190"/>
    <n v="950"/>
    <s v="2004"/>
    <x v="0"/>
    <s v="Evening"/>
    <s v="M-F"/>
    <s v="Independent"/>
    <s v="AAM"/>
    <n v="1365"/>
    <m/>
    <m/>
    <n v="427"/>
    <m/>
    <m/>
    <n v="1792"/>
    <n v="0"/>
    <m/>
    <m/>
    <m/>
    <m/>
    <n v="1379"/>
    <m/>
    <m/>
    <n v="426"/>
    <m/>
    <m/>
    <n v="1805"/>
    <n v="0"/>
    <n v="0"/>
    <m/>
    <m/>
    <m/>
    <n v="1372"/>
    <m/>
    <m/>
    <n v="426.5"/>
    <m/>
    <m/>
    <n v="1798.5"/>
    <m/>
    <m/>
    <m/>
    <m/>
    <m/>
    <n v="8992.5"/>
    <n v="1798.5"/>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3"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12:E24" firstHeaderRow="0" firstDataRow="1" firstDataCol="1"/>
  <pivotFields count="56">
    <pivotField dataField="1" showAll="0"/>
    <pivotField showAll="0"/>
    <pivotField showAll="0"/>
    <pivotField axis="axisRow" showAll="0">
      <items count="12">
        <item x="0"/>
        <item x="1"/>
        <item x="2"/>
        <item x="3"/>
        <item x="4"/>
        <item x="5"/>
        <item x="6"/>
        <item x="7"/>
        <item x="8"/>
        <item x="9"/>
        <item x="1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164" showAll="0"/>
    <pivotField showAll="0"/>
    <pivotField showAll="0"/>
    <pivotField showAll="0"/>
    <pivotField showAll="0"/>
    <pivotField showAll="0"/>
    <pivotField dataField="1" numFmtId="164" showAll="0"/>
    <pivotField dataField="1" numFmtId="164" showAll="0"/>
    <pivotField dataField="1" numFmtId="164" showAll="0"/>
  </pivotFields>
  <rowFields count="1">
    <field x="3"/>
  </rowFields>
  <rowItems count="12">
    <i>
      <x/>
    </i>
    <i>
      <x v="1"/>
    </i>
    <i>
      <x v="2"/>
    </i>
    <i>
      <x v="3"/>
    </i>
    <i>
      <x v="4"/>
    </i>
    <i>
      <x v="5"/>
    </i>
    <i>
      <x v="6"/>
    </i>
    <i>
      <x v="7"/>
    </i>
    <i>
      <x v="8"/>
    </i>
    <i>
      <x v="9"/>
    </i>
    <i>
      <x v="10"/>
    </i>
    <i t="grand">
      <x/>
    </i>
  </rowItems>
  <colFields count="1">
    <field x="-2"/>
  </colFields>
  <colItems count="4">
    <i>
      <x/>
    </i>
    <i i="1">
      <x v="1"/>
    </i>
    <i i="2">
      <x v="2"/>
    </i>
    <i i="3">
      <x v="3"/>
    </i>
  </colItems>
  <dataFields count="4">
    <dataField name="# Newspapers" fld="0" subtotal="count" baseField="0" baseItem="0"/>
    <dataField name="Sum of Weekly Total (Print/Digital)" fld="53" baseField="0" baseItem="0" numFmtId="164"/>
    <dataField name="Sum of Daily Avg. (Print/Digital)" fld="54" baseField="0" baseItem="0" numFmtId="164"/>
    <dataField name="Sum of Total Weekly Digital ONLY*" fld="55" baseField="0" baseItem="0" numFmtId="164"/>
  </dataFields>
  <formats count="3">
    <format dxfId="2">
      <pivotArea outline="0" collapsedLevelsAreSubtotals="1" fieldPosition="0">
        <references count="1">
          <reference field="4294967294" count="3" selected="0">
            <x v="1"/>
            <x v="2"/>
            <x v="3"/>
          </reference>
        </references>
      </pivotArea>
    </format>
    <format dxfId="1">
      <pivotArea outline="0" collapsedLevelsAreSubtotals="1" fieldPosition="0">
        <references count="1">
          <reference field="4294967294" count="1" selected="0">
            <x v="0"/>
          </reference>
        </references>
      </pivotArea>
    </format>
    <format dxfId="0">
      <pivotArea dataOnly="0" labelOnly="1"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7:E10" firstHeaderRow="0" firstDataRow="1" firstDataCol="1"/>
  <pivotFields count="56">
    <pivotField dataField="1" showAll="0">
      <items count="105">
        <item x="79"/>
        <item x="24"/>
        <item x="12"/>
        <item x="17"/>
        <item x="26"/>
        <item x="44"/>
        <item x="0"/>
        <item x="39"/>
        <item x="11"/>
        <item x="7"/>
        <item x="51"/>
        <item x="77"/>
        <item x="22"/>
        <item x="48"/>
        <item x="6"/>
        <item x="49"/>
        <item x="93"/>
        <item x="90"/>
        <item x="97"/>
        <item x="87"/>
        <item x="30"/>
        <item x="88"/>
        <item x="60"/>
        <item x="91"/>
        <item x="95"/>
        <item x="98"/>
        <item x="86"/>
        <item x="94"/>
        <item x="8"/>
        <item x="9"/>
        <item x="2"/>
        <item x="5"/>
        <item x="37"/>
        <item x="62"/>
        <item x="78"/>
        <item x="23"/>
        <item x="29"/>
        <item x="92"/>
        <item x="15"/>
        <item x="55"/>
        <item x="33"/>
        <item x="56"/>
        <item x="46"/>
        <item x="59"/>
        <item x="16"/>
        <item x="100"/>
        <item x="18"/>
        <item x="10"/>
        <item x="70"/>
        <item x="47"/>
        <item x="41"/>
        <item x="71"/>
        <item x="1"/>
        <item x="45"/>
        <item x="36"/>
        <item x="73"/>
        <item x="13"/>
        <item x="14"/>
        <item x="31"/>
        <item x="40"/>
        <item x="64"/>
        <item x="74"/>
        <item x="3"/>
        <item x="4"/>
        <item x="43"/>
        <item x="89"/>
        <item x="54"/>
        <item x="84"/>
        <item x="42"/>
        <item x="85"/>
        <item x="52"/>
        <item x="101"/>
        <item x="53"/>
        <item x="38"/>
        <item x="57"/>
        <item x="66"/>
        <item x="61"/>
        <item x="58"/>
        <item x="65"/>
        <item x="20"/>
        <item x="96"/>
        <item x="67"/>
        <item x="83"/>
        <item x="68"/>
        <item x="50"/>
        <item x="69"/>
        <item x="102"/>
        <item x="72"/>
        <item x="63"/>
        <item x="35"/>
        <item x="99"/>
        <item x="75"/>
        <item x="19"/>
        <item x="81"/>
        <item x="21"/>
        <item x="34"/>
        <item x="103"/>
        <item x="82"/>
        <item x="25"/>
        <item x="32"/>
        <item x="76"/>
        <item x="80"/>
        <item x="27"/>
        <item x="28"/>
        <item t="default"/>
      </items>
    </pivotField>
    <pivotField showAll="0"/>
    <pivotField showAll="0"/>
    <pivotField showAll="0"/>
    <pivotField showAll="0"/>
    <pivotField showAll="0"/>
    <pivotField showAll="0"/>
    <pivotField axis="axisRow" showAll="0">
      <items count="3">
        <item x="0"/>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164" showAll="0"/>
    <pivotField showAll="0"/>
    <pivotField showAll="0"/>
    <pivotField showAll="0"/>
    <pivotField showAll="0"/>
    <pivotField showAll="0"/>
    <pivotField dataField="1" numFmtId="164" showAll="0"/>
    <pivotField dataField="1" numFmtId="164" showAll="0"/>
    <pivotField dataField="1" numFmtId="164" showAll="0"/>
  </pivotFields>
  <rowFields count="1">
    <field x="7"/>
  </rowFields>
  <rowItems count="3">
    <i>
      <x/>
    </i>
    <i>
      <x v="1"/>
    </i>
    <i t="grand">
      <x/>
    </i>
  </rowItems>
  <colFields count="1">
    <field x="-2"/>
  </colFields>
  <colItems count="4">
    <i>
      <x/>
    </i>
    <i i="1">
      <x v="1"/>
    </i>
    <i i="2">
      <x v="2"/>
    </i>
    <i i="3">
      <x v="3"/>
    </i>
  </colItems>
  <dataFields count="4">
    <dataField name="# Newspapers" fld="0" subtotal="count" baseField="0" baseItem="0"/>
    <dataField name="Sum of Weekly Total (Print/Digital)" fld="53" baseField="0" baseItem="0" numFmtId="164"/>
    <dataField name="Sum of Daily Avg. (Print/Digital)" fld="54" baseField="0" baseItem="0" numFmtId="164"/>
    <dataField name="Sum of Total Weekly Digital ONLY*" fld="55" baseField="0" baseItem="0" numFmtId="164"/>
  </dataFields>
  <formats count="3">
    <format dxfId="5">
      <pivotArea outline="0" collapsedLevelsAreSubtotals="1" fieldPosition="0">
        <references count="1">
          <reference field="4294967294" count="3" selected="0">
            <x v="1"/>
            <x v="2"/>
            <x v="3"/>
          </reference>
        </references>
      </pivotArea>
    </format>
    <format dxfId="4">
      <pivotArea outline="0" collapsedLevelsAreSubtotals="1" fieldPosition="0">
        <references count="1">
          <reference field="4294967294" count="1" selected="0">
            <x v="0"/>
          </reference>
        </references>
      </pivotArea>
    </format>
    <format dxfId="3">
      <pivotArea dataOnly="0" labelOnly="1"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2:E5" firstHeaderRow="0" firstDataRow="1" firstDataCol="1"/>
  <pivotFields count="56">
    <pivotField dataField="1" showAll="0"/>
    <pivotField showAll="0"/>
    <pivotField showAll="0"/>
    <pivotField showAll="0"/>
    <pivotField showAll="0"/>
    <pivotField showAll="0"/>
    <pivotField showAll="0"/>
    <pivotField showAll="0"/>
    <pivotField showAll="0"/>
    <pivotField showAll="0"/>
    <pivotField showAll="0"/>
    <pivotField showAll="0"/>
    <pivotField axis="axisRow" showAll="0" defaultSubtotal="0">
      <items count="2">
        <item x="1"/>
        <item x="0"/>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164" showAll="0"/>
    <pivotField showAll="0"/>
    <pivotField showAll="0"/>
    <pivotField showAll="0"/>
    <pivotField showAll="0"/>
    <pivotField showAll="0"/>
    <pivotField dataField="1" showAll="0"/>
    <pivotField dataField="1" showAll="0"/>
    <pivotField dataField="1" showAll="0"/>
  </pivotFields>
  <rowFields count="1">
    <field x="12"/>
  </rowFields>
  <rowItems count="3">
    <i>
      <x/>
    </i>
    <i>
      <x v="1"/>
    </i>
    <i t="grand">
      <x/>
    </i>
  </rowItems>
  <colFields count="1">
    <field x="-2"/>
  </colFields>
  <colItems count="4">
    <i>
      <x/>
    </i>
    <i i="1">
      <x v="1"/>
    </i>
    <i i="2">
      <x v="2"/>
    </i>
    <i i="3">
      <x v="3"/>
    </i>
  </colItems>
  <dataFields count="4">
    <dataField name="# Newspapers" fld="0" subtotal="count" baseField="0" baseItem="0"/>
    <dataField name="Sum of Weekly Total (Print/Digital)" fld="53" baseField="0" baseItem="0" numFmtId="164"/>
    <dataField name="Sum of Daily Avg. (Print/Digital)" fld="54" baseField="0" baseItem="0" numFmtId="164"/>
    <dataField name="Sum of Total Weekly Digital ONLY*" fld="55" baseField="0" baseItem="0" numFmtId="164"/>
  </dataFields>
  <formats count="5">
    <format dxfId="10">
      <pivotArea dataOnly="0" labelOnly="1" outline="0" fieldPosition="0">
        <references count="1">
          <reference field="4294967294" count="3">
            <x v="1"/>
            <x v="2"/>
            <x v="3"/>
          </reference>
        </references>
      </pivotArea>
    </format>
    <format dxfId="9">
      <pivotArea dataOnly="0" labelOnly="1" outline="0" fieldPosition="0">
        <references count="1">
          <reference field="4294967294" count="3">
            <x v="1"/>
            <x v="2"/>
            <x v="3"/>
          </reference>
        </references>
      </pivotArea>
    </format>
    <format dxfId="8">
      <pivotArea outline="0" collapsedLevelsAreSubtotals="1" fieldPosition="0">
        <references count="1">
          <reference field="4294967294" count="3" selected="0">
            <x v="1"/>
            <x v="2"/>
            <x v="3"/>
          </reference>
        </references>
      </pivotArea>
    </format>
    <format dxfId="7">
      <pivotArea outline="0" collapsedLevelsAreSubtotals="1" fieldPosition="0">
        <references count="1">
          <reference field="4294967294" count="1" selected="0">
            <x v="0"/>
          </reference>
        </references>
      </pivotArea>
    </format>
    <format dxfId="6">
      <pivotArea dataOnly="0" labelOnly="1"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metronews.ca/london" TargetMode="External"/><Relationship Id="rId13" Type="http://schemas.openxmlformats.org/officeDocument/2006/relationships/hyperlink" Target="http://www.journalmetro.com/" TargetMode="External"/><Relationship Id="rId18" Type="http://schemas.openxmlformats.org/officeDocument/2006/relationships/hyperlink" Target="http://www.qmisales.ca/" TargetMode="External"/><Relationship Id="rId3" Type="http://schemas.openxmlformats.org/officeDocument/2006/relationships/hyperlink" Target="http://24hrs.ca/" TargetMode="External"/><Relationship Id="rId21" Type="http://schemas.openxmlformats.org/officeDocument/2006/relationships/printerSettings" Target="../printerSettings/printerSettings4.bin"/><Relationship Id="rId7" Type="http://schemas.openxmlformats.org/officeDocument/2006/relationships/hyperlink" Target="http://www.metronews.ca/edmonton" TargetMode="External"/><Relationship Id="rId12" Type="http://schemas.openxmlformats.org/officeDocument/2006/relationships/hyperlink" Target="http://24hrs.ca/" TargetMode="External"/><Relationship Id="rId17" Type="http://schemas.openxmlformats.org/officeDocument/2006/relationships/hyperlink" Target="http://www.qmisales.ca/" TargetMode="External"/><Relationship Id="rId2" Type="http://schemas.openxmlformats.org/officeDocument/2006/relationships/hyperlink" Target="http://www.theepochtimes.com/" TargetMode="External"/><Relationship Id="rId16" Type="http://schemas.openxmlformats.org/officeDocument/2006/relationships/hyperlink" Target="http://www.bclocalnews.com/daily/victoria/" TargetMode="External"/><Relationship Id="rId20" Type="http://schemas.openxmlformats.org/officeDocument/2006/relationships/hyperlink" Target="http://www.qmisales.ca/" TargetMode="External"/><Relationship Id="rId1" Type="http://schemas.openxmlformats.org/officeDocument/2006/relationships/hyperlink" Target="http://www.theepochtimes.com/" TargetMode="External"/><Relationship Id="rId6" Type="http://schemas.openxmlformats.org/officeDocument/2006/relationships/hyperlink" Target="http://www.metronews.ca/calgary" TargetMode="External"/><Relationship Id="rId11" Type="http://schemas.openxmlformats.org/officeDocument/2006/relationships/hyperlink" Target="http://www.metronews.ca/vancouver" TargetMode="External"/><Relationship Id="rId5" Type="http://schemas.openxmlformats.org/officeDocument/2006/relationships/hyperlink" Target="http://www.metronews.ca/winnipeg" TargetMode="External"/><Relationship Id="rId15" Type="http://schemas.openxmlformats.org/officeDocument/2006/relationships/hyperlink" Target="http://www.bclocalnews.com/daily/whiterock/" TargetMode="External"/><Relationship Id="rId10" Type="http://schemas.openxmlformats.org/officeDocument/2006/relationships/hyperlink" Target="http://www.metronews.ca/toronto" TargetMode="External"/><Relationship Id="rId19" Type="http://schemas.openxmlformats.org/officeDocument/2006/relationships/hyperlink" Target="http://www.qmisales.ca/" TargetMode="External"/><Relationship Id="rId4" Type="http://schemas.openxmlformats.org/officeDocument/2006/relationships/hyperlink" Target="http://24hrs.ca/" TargetMode="External"/><Relationship Id="rId9" Type="http://schemas.openxmlformats.org/officeDocument/2006/relationships/hyperlink" Target="http://www.metronews.ca/ottawa" TargetMode="External"/><Relationship Id="rId14" Type="http://schemas.openxmlformats.org/officeDocument/2006/relationships/hyperlink" Target="http://www.metronews.ca/halifa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F210"/>
  <sheetViews>
    <sheetView tabSelected="1" zoomScale="80" zoomScaleNormal="80" zoomScaleSheetLayoutView="80" workbookViewId="0">
      <pane xSplit="1" ySplit="3" topLeftCell="D4" activePane="bottomRight" state="frozen"/>
      <selection pane="topRight" activeCell="B1" sqref="B1"/>
      <selection pane="bottomLeft" activeCell="A4" sqref="A4"/>
      <selection pane="bottomRight" activeCell="A69" sqref="A69"/>
    </sheetView>
  </sheetViews>
  <sheetFormatPr defaultColWidth="8.85546875" defaultRowHeight="15"/>
  <cols>
    <col min="1" max="1" width="34.140625" style="236" customWidth="1"/>
    <col min="2" max="2" width="10.7109375" style="226" hidden="1" customWidth="1"/>
    <col min="3" max="3" width="12.85546875" style="226" hidden="1" customWidth="1"/>
    <col min="4" max="4" width="5" style="227" customWidth="1"/>
    <col min="5" max="5" width="19.42578125" style="228" customWidth="1"/>
    <col min="6" max="6" width="13.5703125" style="229" customWidth="1"/>
    <col min="7" max="7" width="13.5703125" style="227" customWidth="1"/>
    <col min="8" max="8" width="8.5703125" style="225" customWidth="1"/>
    <col min="9" max="9" width="9.5703125" style="226" customWidth="1"/>
    <col min="10" max="10" width="6" style="226" customWidth="1"/>
    <col min="11" max="11" width="10.7109375" style="226" customWidth="1"/>
    <col min="12" max="12" width="12" style="226" customWidth="1"/>
    <col min="13" max="13" width="5.5703125" style="225" customWidth="1"/>
    <col min="14" max="14" width="12" style="225" hidden="1" customWidth="1"/>
    <col min="15" max="15" width="8" style="226" customWidth="1"/>
    <col min="16" max="16" width="27.42578125" style="230" hidden="1" customWidth="1"/>
    <col min="17" max="17" width="6.85546875" style="225" customWidth="1"/>
    <col min="18" max="19" width="14.85546875" style="231" hidden="1" customWidth="1"/>
    <col min="20" max="20" width="13.28515625" style="231" hidden="1" customWidth="1"/>
    <col min="21" max="21" width="14.140625" style="231" hidden="1" customWidth="1"/>
    <col min="22" max="22" width="13.28515625" style="231" hidden="1" customWidth="1"/>
    <col min="23" max="23" width="11.85546875" style="231" hidden="1" customWidth="1"/>
    <col min="24" max="24" width="15.42578125" style="231" hidden="1" customWidth="1"/>
    <col min="25" max="25" width="14.42578125" style="231" hidden="1" customWidth="1"/>
    <col min="26" max="26" width="12.7109375" style="231" hidden="1" customWidth="1"/>
    <col min="27" max="27" width="14.140625" style="231" hidden="1" customWidth="1"/>
    <col min="28" max="28" width="9.42578125" style="231" hidden="1" customWidth="1"/>
    <col min="29" max="29" width="8.5703125" style="231" hidden="1" customWidth="1"/>
    <col min="30" max="30" width="14.85546875" style="232" hidden="1" customWidth="1"/>
    <col min="31" max="31" width="14" style="232" hidden="1" customWidth="1"/>
    <col min="32" max="32" width="12.28515625" style="232" hidden="1" customWidth="1"/>
    <col min="33" max="33" width="14.140625" style="232" hidden="1" customWidth="1"/>
    <col min="34" max="34" width="13.28515625" style="232" hidden="1" customWidth="1"/>
    <col min="35" max="35" width="12.7109375" style="232" hidden="1" customWidth="1"/>
    <col min="36" max="37" width="14.85546875" style="232" hidden="1" customWidth="1"/>
    <col min="38" max="38" width="13.28515625" style="232" hidden="1" customWidth="1"/>
    <col min="39" max="39" width="14.140625" style="232" hidden="1" customWidth="1"/>
    <col min="40" max="40" width="9.42578125" style="232" hidden="1" customWidth="1"/>
    <col min="41" max="41" width="9" style="232" hidden="1" customWidth="1"/>
    <col min="42" max="46" width="11.140625" style="225" customWidth="1"/>
    <col min="47" max="47" width="9.5703125" style="225" customWidth="1"/>
    <col min="48" max="51" width="11.140625" style="225" customWidth="1"/>
    <col min="52" max="53" width="9.5703125" style="225" customWidth="1"/>
    <col min="54" max="54" width="15.7109375" style="233" customWidth="1"/>
    <col min="55" max="55" width="14.42578125" style="233" customWidth="1"/>
    <col min="56" max="56" width="12" style="233" customWidth="1"/>
    <col min="57" max="57" width="11.7109375" style="235" hidden="1" customWidth="1"/>
    <col min="58" max="58" width="8.85546875" style="225" customWidth="1"/>
    <col min="59" max="16384" width="8.85546875" style="225"/>
  </cols>
  <sheetData>
    <row r="1" spans="1:58" s="10" customFormat="1" ht="15.75" customHeight="1" thickBot="1">
      <c r="A1" s="1"/>
      <c r="B1" s="2"/>
      <c r="C1" s="2"/>
      <c r="D1" s="3"/>
      <c r="E1" s="4"/>
      <c r="F1" s="5"/>
      <c r="G1" s="3"/>
      <c r="H1" s="279"/>
      <c r="I1" s="2"/>
      <c r="J1" s="2"/>
      <c r="K1" s="2"/>
      <c r="L1" s="2"/>
      <c r="M1" s="279"/>
      <c r="N1" s="279"/>
      <c r="O1" s="2"/>
      <c r="P1" s="6"/>
      <c r="Q1" s="279"/>
      <c r="R1" s="408" t="s">
        <v>0</v>
      </c>
      <c r="S1" s="408"/>
      <c r="T1" s="408"/>
      <c r="U1" s="408"/>
      <c r="V1" s="408"/>
      <c r="W1" s="408"/>
      <c r="X1" s="408"/>
      <c r="Y1" s="408"/>
      <c r="Z1" s="408"/>
      <c r="AA1" s="408"/>
      <c r="AB1" s="408"/>
      <c r="AC1" s="408"/>
      <c r="AD1" s="409" t="s">
        <v>1</v>
      </c>
      <c r="AE1" s="409"/>
      <c r="AF1" s="409"/>
      <c r="AG1" s="409"/>
      <c r="AH1" s="409"/>
      <c r="AI1" s="409"/>
      <c r="AJ1" s="409"/>
      <c r="AK1" s="409"/>
      <c r="AL1" s="409"/>
      <c r="AM1" s="409"/>
      <c r="AN1" s="409"/>
      <c r="AO1" s="409"/>
      <c r="AP1" s="410" t="s">
        <v>2</v>
      </c>
      <c r="AQ1" s="410"/>
      <c r="AR1" s="410"/>
      <c r="AS1" s="410"/>
      <c r="AT1" s="410"/>
      <c r="AU1" s="410"/>
      <c r="AV1" s="410"/>
      <c r="AW1" s="410"/>
      <c r="AX1" s="410"/>
      <c r="AY1" s="410"/>
      <c r="AZ1" s="410"/>
      <c r="BA1" s="410"/>
      <c r="BB1" s="7"/>
      <c r="BC1" s="7"/>
      <c r="BD1" s="7"/>
      <c r="BE1" s="9"/>
    </row>
    <row r="2" spans="1:58" s="14" customFormat="1" ht="23.25" customHeight="1" thickBot="1">
      <c r="A2" s="11"/>
      <c r="B2" s="315"/>
      <c r="C2" s="315"/>
      <c r="D2" s="315"/>
      <c r="E2" s="12"/>
      <c r="F2" s="13"/>
      <c r="G2" s="315"/>
      <c r="H2" s="281"/>
      <c r="I2" s="315"/>
      <c r="J2" s="315"/>
      <c r="K2" s="315"/>
      <c r="L2" s="315"/>
      <c r="M2" s="281"/>
      <c r="N2" s="281"/>
      <c r="O2" s="315"/>
      <c r="P2" s="12"/>
      <c r="Q2" s="281"/>
      <c r="R2" s="411" t="s">
        <v>3</v>
      </c>
      <c r="S2" s="412"/>
      <c r="T2" s="413"/>
      <c r="U2" s="412" t="s">
        <v>4</v>
      </c>
      <c r="V2" s="412"/>
      <c r="W2" s="412"/>
      <c r="X2" s="412" t="s">
        <v>5</v>
      </c>
      <c r="Y2" s="412"/>
      <c r="Z2" s="413"/>
      <c r="AA2" s="411" t="s">
        <v>6</v>
      </c>
      <c r="AB2" s="412"/>
      <c r="AC2" s="413"/>
      <c r="AD2" s="414" t="s">
        <v>3</v>
      </c>
      <c r="AE2" s="414"/>
      <c r="AF2" s="414"/>
      <c r="AG2" s="414" t="s">
        <v>4</v>
      </c>
      <c r="AH2" s="414"/>
      <c r="AI2" s="414"/>
      <c r="AJ2" s="414" t="s">
        <v>5</v>
      </c>
      <c r="AK2" s="414"/>
      <c r="AL2" s="414"/>
      <c r="AM2" s="414" t="s">
        <v>6</v>
      </c>
      <c r="AN2" s="414"/>
      <c r="AO2" s="414"/>
      <c r="AP2" s="415" t="s">
        <v>3</v>
      </c>
      <c r="AQ2" s="416"/>
      <c r="AR2" s="417"/>
      <c r="AS2" s="418" t="s">
        <v>7</v>
      </c>
      <c r="AT2" s="419"/>
      <c r="AU2" s="420"/>
      <c r="AV2" s="421" t="s">
        <v>8</v>
      </c>
      <c r="AW2" s="422"/>
      <c r="AX2" s="423"/>
      <c r="AY2" s="424" t="s">
        <v>9</v>
      </c>
      <c r="AZ2" s="416"/>
      <c r="BA2" s="417"/>
      <c r="BB2" s="407"/>
      <c r="BC2" s="407"/>
      <c r="BD2" s="315"/>
      <c r="BE2" s="15"/>
    </row>
    <row r="3" spans="1:58" s="32" customFormat="1" ht="26.25" thickBot="1">
      <c r="A3" s="16" t="s">
        <v>10</v>
      </c>
      <c r="B3" s="17" t="s">
        <v>11</v>
      </c>
      <c r="C3" s="17" t="s">
        <v>12</v>
      </c>
      <c r="D3" s="18" t="s">
        <v>13</v>
      </c>
      <c r="E3" s="19" t="s">
        <v>14</v>
      </c>
      <c r="F3" s="20" t="s">
        <v>15</v>
      </c>
      <c r="G3" s="17" t="s">
        <v>16</v>
      </c>
      <c r="H3" s="17" t="s">
        <v>17</v>
      </c>
      <c r="I3" s="17" t="s">
        <v>18</v>
      </c>
      <c r="J3" s="17" t="s">
        <v>19</v>
      </c>
      <c r="K3" s="17" t="s">
        <v>20</v>
      </c>
      <c r="L3" s="17" t="s">
        <v>21</v>
      </c>
      <c r="M3" s="17" t="s">
        <v>22</v>
      </c>
      <c r="N3" s="17" t="s">
        <v>23</v>
      </c>
      <c r="O3" s="18" t="s">
        <v>24</v>
      </c>
      <c r="P3" s="17" t="s">
        <v>25</v>
      </c>
      <c r="Q3" s="18" t="s">
        <v>26</v>
      </c>
      <c r="R3" s="21" t="s">
        <v>27</v>
      </c>
      <c r="S3" s="21" t="s">
        <v>28</v>
      </c>
      <c r="T3" s="22" t="s">
        <v>29</v>
      </c>
      <c r="U3" s="23" t="s">
        <v>27</v>
      </c>
      <c r="V3" s="21" t="s">
        <v>28</v>
      </c>
      <c r="W3" s="22" t="s">
        <v>29</v>
      </c>
      <c r="X3" s="21" t="s">
        <v>27</v>
      </c>
      <c r="Y3" s="21" t="s">
        <v>28</v>
      </c>
      <c r="Z3" s="22" t="s">
        <v>29</v>
      </c>
      <c r="AA3" s="23" t="s">
        <v>27</v>
      </c>
      <c r="AB3" s="21" t="s">
        <v>28</v>
      </c>
      <c r="AC3" s="22" t="s">
        <v>29</v>
      </c>
      <c r="AD3" s="24" t="s">
        <v>27</v>
      </c>
      <c r="AE3" s="25" t="s">
        <v>28</v>
      </c>
      <c r="AF3" s="26" t="s">
        <v>29</v>
      </c>
      <c r="AG3" s="24" t="s">
        <v>27</v>
      </c>
      <c r="AH3" s="25" t="s">
        <v>28</v>
      </c>
      <c r="AI3" s="26" t="s">
        <v>29</v>
      </c>
      <c r="AJ3" s="24" t="s">
        <v>27</v>
      </c>
      <c r="AK3" s="25" t="s">
        <v>28</v>
      </c>
      <c r="AL3" s="26" t="s">
        <v>29</v>
      </c>
      <c r="AM3" s="24" t="s">
        <v>27</v>
      </c>
      <c r="AN3" s="25" t="s">
        <v>28</v>
      </c>
      <c r="AO3" s="26" t="s">
        <v>29</v>
      </c>
      <c r="AP3" s="16" t="s">
        <v>27</v>
      </c>
      <c r="AQ3" s="17" t="s">
        <v>28</v>
      </c>
      <c r="AR3" s="19" t="s">
        <v>29</v>
      </c>
      <c r="AS3" s="16" t="s">
        <v>27</v>
      </c>
      <c r="AT3" s="17" t="s">
        <v>28</v>
      </c>
      <c r="AU3" s="19" t="s">
        <v>29</v>
      </c>
      <c r="AV3" s="27" t="s">
        <v>27</v>
      </c>
      <c r="AW3" s="28" t="s">
        <v>28</v>
      </c>
      <c r="AX3" s="29" t="s">
        <v>29</v>
      </c>
      <c r="AY3" s="17" t="s">
        <v>27</v>
      </c>
      <c r="AZ3" s="17" t="s">
        <v>28</v>
      </c>
      <c r="BA3" s="17" t="s">
        <v>29</v>
      </c>
      <c r="BB3" s="16" t="s">
        <v>30</v>
      </c>
      <c r="BC3" s="30" t="s">
        <v>31</v>
      </c>
      <c r="BD3" s="31" t="s">
        <v>32</v>
      </c>
      <c r="BE3" s="32" t="s">
        <v>33</v>
      </c>
    </row>
    <row r="4" spans="1:58" s="56" customFormat="1">
      <c r="A4" s="33" t="s">
        <v>34</v>
      </c>
      <c r="B4" s="34" t="s">
        <v>35</v>
      </c>
      <c r="C4" s="34" t="s">
        <v>36</v>
      </c>
      <c r="D4" s="40" t="s">
        <v>37</v>
      </c>
      <c r="E4" s="320" t="s">
        <v>38</v>
      </c>
      <c r="F4" s="321">
        <v>1309200</v>
      </c>
      <c r="G4" s="322" t="s">
        <v>39</v>
      </c>
      <c r="H4" s="322" t="s">
        <v>40</v>
      </c>
      <c r="I4" s="322">
        <v>10</v>
      </c>
      <c r="J4" s="322">
        <v>310</v>
      </c>
      <c r="K4" s="322">
        <f t="shared" ref="K4:K67" si="0">I4*J4</f>
        <v>3100</v>
      </c>
      <c r="L4" s="323" t="s">
        <v>41</v>
      </c>
      <c r="M4" s="323" t="s">
        <v>42</v>
      </c>
      <c r="N4" s="324" t="s">
        <v>43</v>
      </c>
      <c r="O4" s="322" t="s">
        <v>44</v>
      </c>
      <c r="P4" s="36" t="s">
        <v>45</v>
      </c>
      <c r="Q4" s="322" t="s">
        <v>46</v>
      </c>
      <c r="R4" s="41">
        <v>62968</v>
      </c>
      <c r="S4" s="42">
        <v>69076</v>
      </c>
      <c r="T4" s="43"/>
      <c r="U4" s="44">
        <v>56649</v>
      </c>
      <c r="V4" s="44">
        <v>48901</v>
      </c>
      <c r="W4" s="44"/>
      <c r="X4" s="41">
        <f>R4+U4</f>
        <v>119617</v>
      </c>
      <c r="Y4" s="42">
        <f>S4+V4</f>
        <v>117977</v>
      </c>
      <c r="Z4" s="43"/>
      <c r="AA4" s="42">
        <v>58224</v>
      </c>
      <c r="AB4" s="42">
        <v>51001</v>
      </c>
      <c r="AC4" s="42"/>
      <c r="AD4" s="45">
        <v>62979</v>
      </c>
      <c r="AE4" s="46">
        <v>65954</v>
      </c>
      <c r="AF4" s="47"/>
      <c r="AG4" s="48">
        <v>45103</v>
      </c>
      <c r="AH4" s="48">
        <v>37591</v>
      </c>
      <c r="AI4" s="48"/>
      <c r="AJ4" s="45">
        <f>AD4+AG4</f>
        <v>108082</v>
      </c>
      <c r="AK4" s="46">
        <f>AE4+AH4</f>
        <v>103545</v>
      </c>
      <c r="AL4" s="47">
        <v>0</v>
      </c>
      <c r="AM4" s="46">
        <v>50508</v>
      </c>
      <c r="AN4" s="46">
        <v>42409</v>
      </c>
      <c r="AO4" s="46"/>
      <c r="AP4" s="50">
        <f>AVERAGE(R4,AD4)</f>
        <v>62973.5</v>
      </c>
      <c r="AQ4" s="51">
        <f>AVERAGE(S4,AE4)</f>
        <v>67515</v>
      </c>
      <c r="AR4" s="52"/>
      <c r="AS4" s="51">
        <f>AVERAGE(U4,AG4)</f>
        <v>50876</v>
      </c>
      <c r="AT4" s="51">
        <f>AVERAGE(V4,AH4)</f>
        <v>43246</v>
      </c>
      <c r="AU4" s="51"/>
      <c r="AV4" s="325">
        <f>AVERAGE(X4,AJ4)</f>
        <v>113849.5</v>
      </c>
      <c r="AW4" s="326">
        <f>AVERAGE(Y4,AK4)</f>
        <v>110761</v>
      </c>
      <c r="AX4" s="327"/>
      <c r="AY4" s="51">
        <f>AVERAGE(AA4,AM4)</f>
        <v>54366</v>
      </c>
      <c r="AZ4" s="51">
        <f>AVERAGE(AB4,AN4)</f>
        <v>46705</v>
      </c>
      <c r="BA4" s="51"/>
      <c r="BB4" s="328">
        <f t="shared" ref="BB4:BB14" si="1">IF($O4="M-Sa",(AV4*5)+AW4+AX4,IF($O4="m-su",(AV4*5)+AW4+AX4,IF($O4="M-F",(AV4*5),IF($O4="T-Su",(AV4*4)+AW4+AX4,IF($O4="T-Sa",(AV4*4)+AW4,IF($O4="T-F",(AV4*4),IF($O4="Su-F",(AV4*5)+AW4+AX4,(AV4*5+AW4+AX4))))))))</f>
        <v>680008.5</v>
      </c>
      <c r="BC4" s="329">
        <f t="shared" ref="BC4:BC14" si="2">IF($O4="M-Sa",(BB4/6),IF($O4="m-su",(BB4/7),IF($O4="M-F",(BB4/5),IF($O4="T-Su",(BB4/6),IF($O4="T-Sa",(BB4/5),IF($O4="T-F",(BB4/4),IF($O4="Su-F",(BB4/6),(BB4/7))))))))</f>
        <v>113334.75</v>
      </c>
      <c r="BD4" s="55">
        <f t="shared" ref="BD4:BD67" si="3">IF($O4="M-Sa",(AY4*5)+AZ4+BA4,IF($O4="m-su",(AY4*5)+AZ4+BA4,IF($O4="M-F",(AY4*5),IF($O4="T-Su",(AY4*4)+AZ4+BA4,IF($O4="T-Sa",(AY4*4)+AZ4,IF($O4="T-F",(AY4*4),IF($O4="Su-F",(AY4*5)+AZ4+BA4,(AY4*5+AZ4+BA4))))))))</f>
        <v>318535</v>
      </c>
      <c r="BE4" s="34">
        <v>1883</v>
      </c>
    </row>
    <row r="5" spans="1:58" s="56" customFormat="1">
      <c r="A5" s="240" t="s">
        <v>308</v>
      </c>
      <c r="B5" s="241" t="s">
        <v>35</v>
      </c>
      <c r="C5" s="241" t="s">
        <v>36</v>
      </c>
      <c r="D5" s="246" t="s">
        <v>37</v>
      </c>
      <c r="E5" s="247" t="s">
        <v>38</v>
      </c>
      <c r="F5" s="331">
        <v>1309200</v>
      </c>
      <c r="G5" s="241" t="s">
        <v>39</v>
      </c>
      <c r="H5" s="241" t="s">
        <v>47</v>
      </c>
      <c r="I5" s="241">
        <v>10</v>
      </c>
      <c r="J5" s="241">
        <v>160</v>
      </c>
      <c r="K5" s="241">
        <f t="shared" si="0"/>
        <v>1600</v>
      </c>
      <c r="L5" s="245" t="s">
        <v>48</v>
      </c>
      <c r="M5" s="245" t="s">
        <v>42</v>
      </c>
      <c r="N5" s="262" t="s">
        <v>43</v>
      </c>
      <c r="O5" s="241" t="s">
        <v>49</v>
      </c>
      <c r="P5" s="243" t="s">
        <v>50</v>
      </c>
      <c r="Q5" s="241" t="s">
        <v>51</v>
      </c>
      <c r="R5" s="248"/>
      <c r="S5" s="249"/>
      <c r="T5" s="250"/>
      <c r="U5" s="249"/>
      <c r="V5" s="249"/>
      <c r="W5" s="249"/>
      <c r="X5" s="248"/>
      <c r="Y5" s="249"/>
      <c r="Z5" s="250"/>
      <c r="AA5" s="249"/>
      <c r="AB5" s="249"/>
      <c r="AC5" s="249"/>
      <c r="AD5" s="248"/>
      <c r="AE5" s="249"/>
      <c r="AF5" s="250"/>
      <c r="AG5" s="249"/>
      <c r="AH5" s="249"/>
      <c r="AI5" s="249"/>
      <c r="AJ5" s="248">
        <f>AD5+AG5</f>
        <v>0</v>
      </c>
      <c r="AK5" s="249">
        <f>AE5+AH5</f>
        <v>0</v>
      </c>
      <c r="AL5" s="250">
        <f>AF5+AI5</f>
        <v>0</v>
      </c>
      <c r="AM5" s="249"/>
      <c r="AN5" s="249"/>
      <c r="AO5" s="249"/>
      <c r="AP5" s="248">
        <v>25403</v>
      </c>
      <c r="AQ5" s="249">
        <v>28708</v>
      </c>
      <c r="AR5" s="250">
        <v>39604</v>
      </c>
      <c r="AS5" s="249">
        <v>18331</v>
      </c>
      <c r="AT5" s="249">
        <v>16776</v>
      </c>
      <c r="AU5" s="249">
        <v>16080</v>
      </c>
      <c r="AV5" s="332">
        <f>AP5+AS5</f>
        <v>43734</v>
      </c>
      <c r="AW5" s="251">
        <f>AQ5+AT5</f>
        <v>45484</v>
      </c>
      <c r="AX5" s="333">
        <f>AR5+AU5</f>
        <v>55684</v>
      </c>
      <c r="AY5" s="249">
        <f>1544+4930+31</f>
        <v>6505</v>
      </c>
      <c r="AZ5" s="249">
        <f>1518+4732+31</f>
        <v>6281</v>
      </c>
      <c r="BA5" s="249">
        <f>1523+4749+32</f>
        <v>6304</v>
      </c>
      <c r="BB5" s="334">
        <f t="shared" si="1"/>
        <v>319838</v>
      </c>
      <c r="BC5" s="335">
        <f t="shared" si="2"/>
        <v>45691.142857142855</v>
      </c>
      <c r="BD5" s="253">
        <f t="shared" si="3"/>
        <v>45110</v>
      </c>
      <c r="BE5" s="241">
        <v>1980</v>
      </c>
      <c r="BF5" s="254"/>
    </row>
    <row r="6" spans="1:58" s="56" customFormat="1">
      <c r="A6" s="57" t="s">
        <v>52</v>
      </c>
      <c r="B6" s="34" t="s">
        <v>35</v>
      </c>
      <c r="C6" s="34" t="s">
        <v>36</v>
      </c>
      <c r="D6" s="59" t="s">
        <v>37</v>
      </c>
      <c r="E6" s="39" t="s">
        <v>38</v>
      </c>
      <c r="F6" s="237">
        <v>1309200</v>
      </c>
      <c r="G6" s="34" t="s">
        <v>39</v>
      </c>
      <c r="H6" s="34" t="s">
        <v>47</v>
      </c>
      <c r="I6" s="34">
        <v>6</v>
      </c>
      <c r="J6" s="34">
        <v>175</v>
      </c>
      <c r="K6" s="34">
        <f t="shared" si="0"/>
        <v>1050</v>
      </c>
      <c r="L6" s="34"/>
      <c r="M6" s="34" t="s">
        <v>53</v>
      </c>
      <c r="N6" s="64" t="s">
        <v>43</v>
      </c>
      <c r="O6" s="34" t="s">
        <v>54</v>
      </c>
      <c r="P6" s="58" t="s">
        <v>55</v>
      </c>
      <c r="Q6" s="34" t="s">
        <v>51</v>
      </c>
      <c r="R6" s="35"/>
      <c r="S6" s="34"/>
      <c r="T6" s="64"/>
      <c r="U6" s="34"/>
      <c r="V6" s="34"/>
      <c r="W6" s="34"/>
      <c r="X6" s="35"/>
      <c r="Y6" s="34"/>
      <c r="Z6" s="64"/>
      <c r="AA6" s="34"/>
      <c r="AB6" s="34"/>
      <c r="AC6" s="34"/>
      <c r="AD6" s="35"/>
      <c r="AE6" s="34"/>
      <c r="AF6" s="64"/>
      <c r="AG6" s="34"/>
      <c r="AH6" s="34"/>
      <c r="AI6" s="34"/>
      <c r="AJ6" s="35"/>
      <c r="AK6" s="34"/>
      <c r="AL6" s="64"/>
      <c r="AM6" s="34"/>
      <c r="AN6" s="34"/>
      <c r="AO6" s="34"/>
      <c r="AP6" s="35"/>
      <c r="AQ6" s="34"/>
      <c r="AR6" s="64"/>
      <c r="AS6" s="49">
        <f>((62749*4)+64288)/5</f>
        <v>63056.800000000003</v>
      </c>
      <c r="AT6" s="49"/>
      <c r="AU6" s="49"/>
      <c r="AV6" s="337">
        <f>AP6+AS6</f>
        <v>63056.800000000003</v>
      </c>
      <c r="AW6" s="53"/>
      <c r="AX6" s="338"/>
      <c r="AY6" s="34"/>
      <c r="AZ6" s="34"/>
      <c r="BA6" s="34"/>
      <c r="BB6" s="339">
        <f t="shared" si="1"/>
        <v>315284</v>
      </c>
      <c r="BC6" s="340">
        <f t="shared" si="2"/>
        <v>63056.800000000003</v>
      </c>
      <c r="BD6" s="62">
        <f t="shared" si="3"/>
        <v>0</v>
      </c>
      <c r="BE6" s="66">
        <v>2007</v>
      </c>
    </row>
    <row r="7" spans="1:58" s="56" customFormat="1">
      <c r="A7" s="57" t="s">
        <v>58</v>
      </c>
      <c r="B7" s="34" t="s">
        <v>35</v>
      </c>
      <c r="C7" s="34" t="s">
        <v>36</v>
      </c>
      <c r="D7" s="59" t="s">
        <v>37</v>
      </c>
      <c r="E7" s="39" t="s">
        <v>57</v>
      </c>
      <c r="F7" s="237">
        <v>1230100</v>
      </c>
      <c r="G7" s="34" t="s">
        <v>39</v>
      </c>
      <c r="H7" s="34" t="s">
        <v>40</v>
      </c>
      <c r="I7" s="34">
        <v>10</v>
      </c>
      <c r="J7" s="34">
        <v>310</v>
      </c>
      <c r="K7" s="34">
        <f t="shared" si="0"/>
        <v>3100</v>
      </c>
      <c r="L7" s="38" t="s">
        <v>41</v>
      </c>
      <c r="M7" s="38" t="s">
        <v>42</v>
      </c>
      <c r="N7" s="64" t="s">
        <v>43</v>
      </c>
      <c r="O7" s="34" t="s">
        <v>44</v>
      </c>
      <c r="P7" s="58" t="s">
        <v>45</v>
      </c>
      <c r="Q7" s="34" t="s">
        <v>46</v>
      </c>
      <c r="R7" s="68">
        <v>62831</v>
      </c>
      <c r="S7" s="44">
        <v>69298</v>
      </c>
      <c r="T7" s="69"/>
      <c r="U7" s="44">
        <v>38317</v>
      </c>
      <c r="V7" s="44">
        <v>35367</v>
      </c>
      <c r="W7" s="44"/>
      <c r="X7" s="68">
        <f>R7+U7</f>
        <v>101148</v>
      </c>
      <c r="Y7" s="44">
        <f>S7+V7</f>
        <v>104665</v>
      </c>
      <c r="Z7" s="69"/>
      <c r="AA7" s="44">
        <v>38637</v>
      </c>
      <c r="AB7" s="44">
        <v>36677</v>
      </c>
      <c r="AC7" s="44"/>
      <c r="AD7" s="70">
        <v>62597</v>
      </c>
      <c r="AE7" s="48">
        <v>68558</v>
      </c>
      <c r="AF7" s="71">
        <v>0</v>
      </c>
      <c r="AG7" s="48">
        <v>34342</v>
      </c>
      <c r="AH7" s="48">
        <v>31919</v>
      </c>
      <c r="AI7" s="48">
        <v>0</v>
      </c>
      <c r="AJ7" s="70">
        <f t="shared" ref="AJ7:AL8" si="4">AD7+AG7</f>
        <v>96939</v>
      </c>
      <c r="AK7" s="48">
        <f t="shared" si="4"/>
        <v>100477</v>
      </c>
      <c r="AL7" s="71">
        <f t="shared" si="4"/>
        <v>0</v>
      </c>
      <c r="AM7" s="48">
        <v>36371</v>
      </c>
      <c r="AN7" s="48">
        <v>34366</v>
      </c>
      <c r="AO7" s="48"/>
      <c r="AP7" s="60">
        <f>AVERAGE(R7,AD7)</f>
        <v>62714</v>
      </c>
      <c r="AQ7" s="49">
        <f>AVERAGE(S7,AE7)</f>
        <v>68928</v>
      </c>
      <c r="AR7" s="61"/>
      <c r="AS7" s="49">
        <f>AVERAGE(U7,AG7)</f>
        <v>36329.5</v>
      </c>
      <c r="AT7" s="49">
        <f>AVERAGE(V7,AH7)</f>
        <v>33643</v>
      </c>
      <c r="AU7" s="49"/>
      <c r="AV7" s="337">
        <f>AVERAGE(X7,AJ7)</f>
        <v>99043.5</v>
      </c>
      <c r="AW7" s="53">
        <f>AVERAGE(Y7,AK7)</f>
        <v>102571</v>
      </c>
      <c r="AX7" s="338"/>
      <c r="AY7" s="49">
        <f>AVERAGE(AA7,AM7)</f>
        <v>37504</v>
      </c>
      <c r="AZ7" s="49">
        <f>AVERAGE(AB7,AN7)</f>
        <v>35521.5</v>
      </c>
      <c r="BA7" s="49"/>
      <c r="BB7" s="339">
        <f t="shared" si="1"/>
        <v>597788.5</v>
      </c>
      <c r="BC7" s="340">
        <f t="shared" si="2"/>
        <v>99631.416666666672</v>
      </c>
      <c r="BD7" s="62">
        <f t="shared" si="3"/>
        <v>223041.5</v>
      </c>
      <c r="BE7" s="34">
        <v>1980</v>
      </c>
    </row>
    <row r="8" spans="1:58" s="56" customFormat="1">
      <c r="A8" s="240" t="s">
        <v>309</v>
      </c>
      <c r="B8" s="241" t="s">
        <v>35</v>
      </c>
      <c r="C8" s="241" t="s">
        <v>36</v>
      </c>
      <c r="D8" s="246" t="s">
        <v>37</v>
      </c>
      <c r="E8" s="247" t="s">
        <v>57</v>
      </c>
      <c r="F8" s="331">
        <v>1230100</v>
      </c>
      <c r="G8" s="241" t="s">
        <v>39</v>
      </c>
      <c r="H8" s="241" t="s">
        <v>47</v>
      </c>
      <c r="I8" s="241">
        <v>10</v>
      </c>
      <c r="J8" s="241">
        <v>160</v>
      </c>
      <c r="K8" s="241">
        <f t="shared" si="0"/>
        <v>1600</v>
      </c>
      <c r="L8" s="245" t="s">
        <v>48</v>
      </c>
      <c r="M8" s="245" t="s">
        <v>42</v>
      </c>
      <c r="N8" s="262" t="s">
        <v>43</v>
      </c>
      <c r="O8" s="241" t="s">
        <v>49</v>
      </c>
      <c r="P8" s="243" t="s">
        <v>50</v>
      </c>
      <c r="Q8" s="241" t="s">
        <v>51</v>
      </c>
      <c r="R8" s="248"/>
      <c r="S8" s="249"/>
      <c r="T8" s="250"/>
      <c r="U8" s="249"/>
      <c r="V8" s="249"/>
      <c r="W8" s="249"/>
      <c r="X8" s="248"/>
      <c r="Y8" s="249"/>
      <c r="Z8" s="250"/>
      <c r="AA8" s="249"/>
      <c r="AB8" s="249"/>
      <c r="AC8" s="249"/>
      <c r="AD8" s="248"/>
      <c r="AE8" s="249"/>
      <c r="AF8" s="250"/>
      <c r="AG8" s="249"/>
      <c r="AH8" s="249"/>
      <c r="AI8" s="249"/>
      <c r="AJ8" s="248">
        <f t="shared" si="4"/>
        <v>0</v>
      </c>
      <c r="AK8" s="249">
        <f t="shared" si="4"/>
        <v>0</v>
      </c>
      <c r="AL8" s="250">
        <f t="shared" si="4"/>
        <v>0</v>
      </c>
      <c r="AM8" s="249"/>
      <c r="AN8" s="249"/>
      <c r="AO8" s="249"/>
      <c r="AP8" s="248">
        <v>30305</v>
      </c>
      <c r="AQ8" s="249">
        <v>30920</v>
      </c>
      <c r="AR8" s="250">
        <v>41754</v>
      </c>
      <c r="AS8" s="249">
        <v>9613</v>
      </c>
      <c r="AT8" s="249">
        <v>6828</v>
      </c>
      <c r="AU8" s="249">
        <v>7601</v>
      </c>
      <c r="AV8" s="332">
        <f>AP8+AS8</f>
        <v>39918</v>
      </c>
      <c r="AW8" s="251">
        <f>AQ8+AT8</f>
        <v>37748</v>
      </c>
      <c r="AX8" s="333">
        <f>AR8+AU8</f>
        <v>49355</v>
      </c>
      <c r="AY8" s="249">
        <f>1522+4127</f>
        <v>5649</v>
      </c>
      <c r="AZ8" s="249">
        <f>1495+4034</f>
        <v>5529</v>
      </c>
      <c r="BA8" s="249">
        <f>1504+3974</f>
        <v>5478</v>
      </c>
      <c r="BB8" s="334">
        <f t="shared" si="1"/>
        <v>286693</v>
      </c>
      <c r="BC8" s="335">
        <f t="shared" si="2"/>
        <v>40956.142857142855</v>
      </c>
      <c r="BD8" s="253">
        <f t="shared" si="3"/>
        <v>39252</v>
      </c>
      <c r="BE8" s="241">
        <v>1978</v>
      </c>
      <c r="BF8" s="101"/>
    </row>
    <row r="9" spans="1:58" s="56" customFormat="1">
      <c r="A9" s="57" t="s">
        <v>59</v>
      </c>
      <c r="B9" s="34" t="s">
        <v>35</v>
      </c>
      <c r="C9" s="34" t="s">
        <v>36</v>
      </c>
      <c r="D9" s="59" t="s">
        <v>37</v>
      </c>
      <c r="E9" s="39" t="s">
        <v>57</v>
      </c>
      <c r="F9" s="237">
        <v>1230100</v>
      </c>
      <c r="G9" s="34" t="s">
        <v>39</v>
      </c>
      <c r="H9" s="34" t="s">
        <v>47</v>
      </c>
      <c r="I9" s="34">
        <v>6</v>
      </c>
      <c r="J9" s="34">
        <v>175</v>
      </c>
      <c r="K9" s="34">
        <f t="shared" si="0"/>
        <v>1050</v>
      </c>
      <c r="L9" s="34"/>
      <c r="M9" s="34" t="s">
        <v>53</v>
      </c>
      <c r="N9" s="64" t="s">
        <v>43</v>
      </c>
      <c r="O9" s="34" t="s">
        <v>54</v>
      </c>
      <c r="P9" s="58" t="s">
        <v>55</v>
      </c>
      <c r="Q9" s="34" t="s">
        <v>51</v>
      </c>
      <c r="R9" s="35"/>
      <c r="S9" s="34"/>
      <c r="T9" s="64"/>
      <c r="U9" s="34"/>
      <c r="V9" s="34"/>
      <c r="W9" s="34"/>
      <c r="X9" s="35"/>
      <c r="Y9" s="34"/>
      <c r="Z9" s="64"/>
      <c r="AA9" s="34"/>
      <c r="AB9" s="34"/>
      <c r="AC9" s="34"/>
      <c r="AD9" s="35"/>
      <c r="AE9" s="34"/>
      <c r="AF9" s="64"/>
      <c r="AG9" s="34"/>
      <c r="AH9" s="34"/>
      <c r="AI9" s="34"/>
      <c r="AJ9" s="35"/>
      <c r="AK9" s="34"/>
      <c r="AL9" s="64"/>
      <c r="AM9" s="34"/>
      <c r="AN9" s="34"/>
      <c r="AO9" s="34"/>
      <c r="AP9" s="35"/>
      <c r="AQ9" s="34"/>
      <c r="AR9" s="64"/>
      <c r="AS9" s="49">
        <f>((61074*4)+62876)/5</f>
        <v>61434.400000000001</v>
      </c>
      <c r="AT9" s="49"/>
      <c r="AU9" s="49"/>
      <c r="AV9" s="337">
        <f>AP9+AS9</f>
        <v>61434.400000000001</v>
      </c>
      <c r="AW9" s="53"/>
      <c r="AX9" s="338"/>
      <c r="AY9" s="34"/>
      <c r="AZ9" s="34"/>
      <c r="BA9" s="34"/>
      <c r="BB9" s="339">
        <f t="shared" si="1"/>
        <v>307172</v>
      </c>
      <c r="BC9" s="340">
        <f t="shared" si="2"/>
        <v>61434.400000000001</v>
      </c>
      <c r="BD9" s="62">
        <f t="shared" si="3"/>
        <v>0</v>
      </c>
      <c r="BE9" s="66">
        <v>2007</v>
      </c>
    </row>
    <row r="10" spans="1:58" s="56" customFormat="1">
      <c r="A10" s="240" t="s">
        <v>315</v>
      </c>
      <c r="B10" s="241" t="s">
        <v>35</v>
      </c>
      <c r="C10" s="241" t="s">
        <v>36</v>
      </c>
      <c r="D10" s="246" t="s">
        <v>37</v>
      </c>
      <c r="E10" s="247" t="s">
        <v>62</v>
      </c>
      <c r="F10" s="331">
        <v>61374</v>
      </c>
      <c r="G10" s="241" t="s">
        <v>63</v>
      </c>
      <c r="H10" s="241" t="s">
        <v>47</v>
      </c>
      <c r="I10" s="241">
        <v>10</v>
      </c>
      <c r="J10" s="241">
        <v>160</v>
      </c>
      <c r="K10" s="241">
        <f t="shared" si="0"/>
        <v>1600</v>
      </c>
      <c r="L10" s="245"/>
      <c r="M10" s="245" t="s">
        <v>42</v>
      </c>
      <c r="N10" s="262" t="s">
        <v>64</v>
      </c>
      <c r="O10" s="241" t="s">
        <v>54</v>
      </c>
      <c r="P10" s="243" t="s">
        <v>50</v>
      </c>
      <c r="Q10" s="241" t="s">
        <v>46</v>
      </c>
      <c r="R10" s="256">
        <v>1975</v>
      </c>
      <c r="S10" s="257"/>
      <c r="T10" s="258"/>
      <c r="U10" s="257">
        <v>13</v>
      </c>
      <c r="V10" s="257"/>
      <c r="W10" s="257"/>
      <c r="X10" s="256">
        <f t="shared" ref="X10:Z12" si="5">R10+U10</f>
        <v>1988</v>
      </c>
      <c r="Y10" s="257">
        <f t="shared" si="5"/>
        <v>0</v>
      </c>
      <c r="Z10" s="258">
        <f t="shared" si="5"/>
        <v>0</v>
      </c>
      <c r="AA10" s="257"/>
      <c r="AB10" s="257"/>
      <c r="AC10" s="257"/>
      <c r="AD10" s="259">
        <v>1801</v>
      </c>
      <c r="AE10" s="260">
        <v>0</v>
      </c>
      <c r="AF10" s="261">
        <v>0</v>
      </c>
      <c r="AG10" s="260">
        <v>14</v>
      </c>
      <c r="AH10" s="260">
        <v>0</v>
      </c>
      <c r="AI10" s="260">
        <v>0</v>
      </c>
      <c r="AJ10" s="259">
        <f t="shared" ref="AJ10:AL25" si="6">AD10+AG10</f>
        <v>1815</v>
      </c>
      <c r="AK10" s="260">
        <f t="shared" si="6"/>
        <v>0</v>
      </c>
      <c r="AL10" s="261">
        <f t="shared" si="6"/>
        <v>0</v>
      </c>
      <c r="AM10" s="260">
        <v>0</v>
      </c>
      <c r="AN10" s="260"/>
      <c r="AO10" s="260"/>
      <c r="AP10" s="248">
        <f>AVERAGE(R10,AD10)</f>
        <v>1888</v>
      </c>
      <c r="AQ10" s="249"/>
      <c r="AR10" s="250"/>
      <c r="AS10" s="249">
        <f>AVERAGE(U10,AG10)</f>
        <v>13.5</v>
      </c>
      <c r="AT10" s="249"/>
      <c r="AU10" s="249"/>
      <c r="AV10" s="332">
        <f>AVERAGE(X10,AJ10)</f>
        <v>1901.5</v>
      </c>
      <c r="AW10" s="251"/>
      <c r="AX10" s="333"/>
      <c r="AY10" s="249"/>
      <c r="AZ10" s="249"/>
      <c r="BA10" s="249"/>
      <c r="BB10" s="334">
        <f t="shared" si="1"/>
        <v>9507.5</v>
      </c>
      <c r="BC10" s="335">
        <f t="shared" si="2"/>
        <v>1901.5</v>
      </c>
      <c r="BD10" s="253">
        <f t="shared" si="3"/>
        <v>0</v>
      </c>
      <c r="BE10" s="241">
        <v>1975</v>
      </c>
      <c r="BF10" s="101"/>
    </row>
    <row r="11" spans="1:58" s="56" customFormat="1">
      <c r="A11" s="240" t="s">
        <v>316</v>
      </c>
      <c r="B11" s="241" t="s">
        <v>35</v>
      </c>
      <c r="C11" s="241" t="s">
        <v>36</v>
      </c>
      <c r="D11" s="246" t="s">
        <v>37</v>
      </c>
      <c r="E11" s="247" t="s">
        <v>65</v>
      </c>
      <c r="F11" s="331">
        <v>55032</v>
      </c>
      <c r="G11" s="241" t="s">
        <v>63</v>
      </c>
      <c r="H11" s="241" t="s">
        <v>47</v>
      </c>
      <c r="I11" s="241">
        <v>10</v>
      </c>
      <c r="J11" s="241">
        <v>160</v>
      </c>
      <c r="K11" s="241">
        <f t="shared" si="0"/>
        <v>1600</v>
      </c>
      <c r="L11" s="245"/>
      <c r="M11" s="245" t="s">
        <v>42</v>
      </c>
      <c r="N11" s="262" t="s">
        <v>64</v>
      </c>
      <c r="O11" s="241" t="s">
        <v>54</v>
      </c>
      <c r="P11" s="243" t="s">
        <v>50</v>
      </c>
      <c r="Q11" s="241" t="s">
        <v>46</v>
      </c>
      <c r="R11" s="256">
        <v>3804</v>
      </c>
      <c r="S11" s="257"/>
      <c r="T11" s="258"/>
      <c r="U11" s="257">
        <v>34</v>
      </c>
      <c r="V11" s="257"/>
      <c r="W11" s="257"/>
      <c r="X11" s="256">
        <f t="shared" si="5"/>
        <v>3838</v>
      </c>
      <c r="Y11" s="257">
        <f t="shared" si="5"/>
        <v>0</v>
      </c>
      <c r="Z11" s="258">
        <f t="shared" si="5"/>
        <v>0</v>
      </c>
      <c r="AA11" s="257"/>
      <c r="AB11" s="257"/>
      <c r="AC11" s="257"/>
      <c r="AD11" s="259">
        <v>3590</v>
      </c>
      <c r="AE11" s="260">
        <v>0</v>
      </c>
      <c r="AF11" s="261">
        <v>0</v>
      </c>
      <c r="AG11" s="260">
        <v>28</v>
      </c>
      <c r="AH11" s="260">
        <v>0</v>
      </c>
      <c r="AI11" s="260">
        <v>0</v>
      </c>
      <c r="AJ11" s="259">
        <f t="shared" si="6"/>
        <v>3618</v>
      </c>
      <c r="AK11" s="260">
        <f t="shared" si="6"/>
        <v>0</v>
      </c>
      <c r="AL11" s="261">
        <f t="shared" si="6"/>
        <v>0</v>
      </c>
      <c r="AM11" s="260">
        <v>0</v>
      </c>
      <c r="AN11" s="260"/>
      <c r="AO11" s="260"/>
      <c r="AP11" s="248">
        <f>AVERAGE(R11,AD11)</f>
        <v>3697</v>
      </c>
      <c r="AQ11" s="249"/>
      <c r="AR11" s="250"/>
      <c r="AS11" s="249">
        <f>AVERAGE(U11,AG11)</f>
        <v>31</v>
      </c>
      <c r="AT11" s="249"/>
      <c r="AU11" s="249"/>
      <c r="AV11" s="332">
        <f>AVERAGE(X11,AJ11)</f>
        <v>3728</v>
      </c>
      <c r="AW11" s="251"/>
      <c r="AX11" s="333"/>
      <c r="AY11" s="249"/>
      <c r="AZ11" s="249"/>
      <c r="BA11" s="249"/>
      <c r="BB11" s="334">
        <f t="shared" si="1"/>
        <v>18640</v>
      </c>
      <c r="BC11" s="335">
        <f t="shared" si="2"/>
        <v>3728</v>
      </c>
      <c r="BD11" s="253">
        <f t="shared" si="3"/>
        <v>0</v>
      </c>
      <c r="BE11" s="241">
        <v>1964</v>
      </c>
      <c r="BF11" s="101"/>
    </row>
    <row r="12" spans="1:58" s="73" customFormat="1">
      <c r="A12" s="57" t="s">
        <v>66</v>
      </c>
      <c r="B12" s="34" t="s">
        <v>35</v>
      </c>
      <c r="C12" s="34" t="s">
        <v>36</v>
      </c>
      <c r="D12" s="59" t="s">
        <v>37</v>
      </c>
      <c r="E12" s="39" t="s">
        <v>67</v>
      </c>
      <c r="F12" s="237">
        <v>105999</v>
      </c>
      <c r="G12" s="34" t="s">
        <v>68</v>
      </c>
      <c r="H12" s="34" t="s">
        <v>40</v>
      </c>
      <c r="I12" s="34">
        <v>10</v>
      </c>
      <c r="J12" s="34">
        <v>301</v>
      </c>
      <c r="K12" s="34">
        <f t="shared" si="0"/>
        <v>3010</v>
      </c>
      <c r="L12" s="38" t="s">
        <v>69</v>
      </c>
      <c r="M12" s="38" t="s">
        <v>42</v>
      </c>
      <c r="N12" s="64" t="s">
        <v>43</v>
      </c>
      <c r="O12" s="34" t="s">
        <v>49</v>
      </c>
      <c r="P12" s="58" t="s">
        <v>70</v>
      </c>
      <c r="Q12" s="34" t="s">
        <v>46</v>
      </c>
      <c r="R12" s="68">
        <v>13673</v>
      </c>
      <c r="S12" s="44">
        <v>12958</v>
      </c>
      <c r="T12" s="69">
        <v>11628</v>
      </c>
      <c r="U12" s="44">
        <v>3228</v>
      </c>
      <c r="V12" s="44">
        <v>2535</v>
      </c>
      <c r="W12" s="44">
        <v>476</v>
      </c>
      <c r="X12" s="68">
        <f t="shared" si="5"/>
        <v>16901</v>
      </c>
      <c r="Y12" s="44">
        <f t="shared" si="5"/>
        <v>15493</v>
      </c>
      <c r="Z12" s="69">
        <f t="shared" si="5"/>
        <v>12104</v>
      </c>
      <c r="AA12" s="44">
        <v>312</v>
      </c>
      <c r="AB12" s="44">
        <v>310</v>
      </c>
      <c r="AC12" s="44">
        <v>312</v>
      </c>
      <c r="AD12" s="70">
        <v>11375</v>
      </c>
      <c r="AE12" s="48">
        <v>11587</v>
      </c>
      <c r="AF12" s="71">
        <v>10557</v>
      </c>
      <c r="AG12" s="48">
        <v>7577</v>
      </c>
      <c r="AH12" s="48">
        <v>1599</v>
      </c>
      <c r="AI12" s="48">
        <v>1278</v>
      </c>
      <c r="AJ12" s="70">
        <f t="shared" si="6"/>
        <v>18952</v>
      </c>
      <c r="AK12" s="48">
        <f t="shared" si="6"/>
        <v>13186</v>
      </c>
      <c r="AL12" s="71">
        <f t="shared" si="6"/>
        <v>11835</v>
      </c>
      <c r="AM12" s="48">
        <v>340</v>
      </c>
      <c r="AN12" s="48">
        <v>340</v>
      </c>
      <c r="AO12" s="48">
        <v>341</v>
      </c>
      <c r="AP12" s="60">
        <f>AVERAGE(R12,AD12)</f>
        <v>12524</v>
      </c>
      <c r="AQ12" s="49">
        <f>AVERAGE(S12,AE12)</f>
        <v>12272.5</v>
      </c>
      <c r="AR12" s="61">
        <f>AVERAGE(T12,AF12)</f>
        <v>11092.5</v>
      </c>
      <c r="AS12" s="49">
        <f>AVERAGE(U12,AG12)</f>
        <v>5402.5</v>
      </c>
      <c r="AT12" s="49">
        <f>AVERAGE(V12,AH12)</f>
        <v>2067</v>
      </c>
      <c r="AU12" s="49">
        <f>AVERAGE(W12,AI12)</f>
        <v>877</v>
      </c>
      <c r="AV12" s="337">
        <f>AVERAGE(X12,AJ12)</f>
        <v>17926.5</v>
      </c>
      <c r="AW12" s="53">
        <f>AVERAGE(Y12,AK12)</f>
        <v>14339.5</v>
      </c>
      <c r="AX12" s="338">
        <f>AVERAGE(Z12,AL12)</f>
        <v>11969.5</v>
      </c>
      <c r="AY12" s="49">
        <f>AVERAGE(AA12,AM12)</f>
        <v>326</v>
      </c>
      <c r="AZ12" s="49">
        <f>AVERAGE(AB12,AN12)</f>
        <v>325</v>
      </c>
      <c r="BA12" s="49">
        <f>AVERAGE(AC12,AO12)</f>
        <v>326.5</v>
      </c>
      <c r="BB12" s="339">
        <f t="shared" si="1"/>
        <v>115941.5</v>
      </c>
      <c r="BC12" s="340">
        <f t="shared" si="2"/>
        <v>16563.071428571428</v>
      </c>
      <c r="BD12" s="62">
        <f t="shared" si="3"/>
        <v>2281.5</v>
      </c>
      <c r="BE12" s="34">
        <v>1907</v>
      </c>
      <c r="BF12" s="56"/>
    </row>
    <row r="13" spans="1:58" s="56" customFormat="1">
      <c r="A13" s="57" t="s">
        <v>71</v>
      </c>
      <c r="B13" s="34" t="s">
        <v>35</v>
      </c>
      <c r="C13" s="34" t="s">
        <v>36</v>
      </c>
      <c r="D13" s="59" t="s">
        <v>37</v>
      </c>
      <c r="E13" s="39" t="s">
        <v>72</v>
      </c>
      <c r="F13" s="237">
        <v>72807</v>
      </c>
      <c r="G13" s="34" t="s">
        <v>63</v>
      </c>
      <c r="H13" s="34" t="s">
        <v>40</v>
      </c>
      <c r="I13" s="34">
        <v>10</v>
      </c>
      <c r="J13" s="34">
        <v>302</v>
      </c>
      <c r="K13" s="34">
        <f t="shared" si="0"/>
        <v>3020</v>
      </c>
      <c r="L13" s="38" t="s">
        <v>73</v>
      </c>
      <c r="M13" s="38" t="s">
        <v>42</v>
      </c>
      <c r="N13" s="64" t="s">
        <v>64</v>
      </c>
      <c r="O13" s="34" t="s">
        <v>44</v>
      </c>
      <c r="P13" s="58" t="s">
        <v>70</v>
      </c>
      <c r="Q13" s="34" t="s">
        <v>46</v>
      </c>
      <c r="R13" s="68">
        <v>9128</v>
      </c>
      <c r="S13" s="44">
        <v>9128</v>
      </c>
      <c r="T13" s="69"/>
      <c r="U13" s="44">
        <v>1429</v>
      </c>
      <c r="V13" s="44">
        <v>1429</v>
      </c>
      <c r="W13" s="44"/>
      <c r="X13" s="68">
        <f>R13+U13</f>
        <v>10557</v>
      </c>
      <c r="Y13" s="44">
        <f>S13+V13</f>
        <v>10557</v>
      </c>
      <c r="Z13" s="69"/>
      <c r="AA13" s="44">
        <v>187</v>
      </c>
      <c r="AB13" s="44">
        <v>187</v>
      </c>
      <c r="AC13" s="44"/>
      <c r="AD13" s="70">
        <v>9372</v>
      </c>
      <c r="AE13" s="48">
        <v>9372</v>
      </c>
      <c r="AF13" s="71">
        <v>0</v>
      </c>
      <c r="AG13" s="48">
        <v>4717</v>
      </c>
      <c r="AH13" s="48">
        <v>4717</v>
      </c>
      <c r="AI13" s="48">
        <v>0</v>
      </c>
      <c r="AJ13" s="70">
        <f t="shared" si="6"/>
        <v>14089</v>
      </c>
      <c r="AK13" s="48">
        <f t="shared" si="6"/>
        <v>14089</v>
      </c>
      <c r="AL13" s="71">
        <f t="shared" si="6"/>
        <v>0</v>
      </c>
      <c r="AM13" s="48">
        <v>193</v>
      </c>
      <c r="AN13" s="48">
        <v>193</v>
      </c>
      <c r="AO13" s="48"/>
      <c r="AP13" s="60">
        <f>AVERAGE(R13,AD13)</f>
        <v>9250</v>
      </c>
      <c r="AQ13" s="49">
        <f>AVERAGE(S13,AE13)</f>
        <v>9250</v>
      </c>
      <c r="AR13" s="61"/>
      <c r="AS13" s="49">
        <f>AVERAGE(U13,AG13)</f>
        <v>3073</v>
      </c>
      <c r="AT13" s="49">
        <f>AVERAGE(V13,AH13)</f>
        <v>3073</v>
      </c>
      <c r="AU13" s="49"/>
      <c r="AV13" s="337">
        <f>AVERAGE(X13,AJ13)</f>
        <v>12323</v>
      </c>
      <c r="AW13" s="53">
        <f>AVERAGE(Y13,AK13)</f>
        <v>12323</v>
      </c>
      <c r="AX13" s="338"/>
      <c r="AY13" s="49">
        <f>AVERAGE(AA13,AM13)</f>
        <v>190</v>
      </c>
      <c r="AZ13" s="49">
        <f>AVERAGE(AB13,AN13)</f>
        <v>190</v>
      </c>
      <c r="BA13" s="49"/>
      <c r="BB13" s="339">
        <f t="shared" si="1"/>
        <v>73938</v>
      </c>
      <c r="BC13" s="340">
        <f t="shared" si="2"/>
        <v>12323</v>
      </c>
      <c r="BD13" s="62">
        <f t="shared" si="3"/>
        <v>1140</v>
      </c>
      <c r="BE13" s="34">
        <v>1885</v>
      </c>
    </row>
    <row r="14" spans="1:58" s="73" customFormat="1">
      <c r="A14" s="57" t="s">
        <v>74</v>
      </c>
      <c r="B14" s="34" t="s">
        <v>35</v>
      </c>
      <c r="C14" s="34" t="s">
        <v>36</v>
      </c>
      <c r="D14" s="59" t="s">
        <v>37</v>
      </c>
      <c r="E14" s="39" t="s">
        <v>75</v>
      </c>
      <c r="F14" s="237">
        <v>90564</v>
      </c>
      <c r="G14" s="34" t="s">
        <v>63</v>
      </c>
      <c r="H14" s="34" t="s">
        <v>40</v>
      </c>
      <c r="I14" s="34">
        <v>6</v>
      </c>
      <c r="J14" s="34">
        <v>300</v>
      </c>
      <c r="K14" s="34">
        <f t="shared" si="0"/>
        <v>1800</v>
      </c>
      <c r="L14" s="38" t="s">
        <v>76</v>
      </c>
      <c r="M14" s="38" t="s">
        <v>42</v>
      </c>
      <c r="N14" s="64" t="s">
        <v>64</v>
      </c>
      <c r="O14" s="34" t="s">
        <v>44</v>
      </c>
      <c r="P14" s="58" t="s">
        <v>77</v>
      </c>
      <c r="Q14" s="34" t="s">
        <v>46</v>
      </c>
      <c r="R14" s="68">
        <v>10150</v>
      </c>
      <c r="S14" s="44">
        <v>10432</v>
      </c>
      <c r="T14" s="69"/>
      <c r="U14" s="44">
        <v>1163</v>
      </c>
      <c r="V14" s="44">
        <v>651</v>
      </c>
      <c r="W14" s="44"/>
      <c r="X14" s="68">
        <f>R14+U14</f>
        <v>11313</v>
      </c>
      <c r="Y14" s="44">
        <f>S14+V14</f>
        <v>11083</v>
      </c>
      <c r="Z14" s="69"/>
      <c r="AA14" s="44">
        <v>66</v>
      </c>
      <c r="AB14" s="44">
        <v>66</v>
      </c>
      <c r="AC14" s="44"/>
      <c r="AD14" s="70">
        <v>10001</v>
      </c>
      <c r="AE14" s="48">
        <v>10261</v>
      </c>
      <c r="AF14" s="71">
        <v>0</v>
      </c>
      <c r="AG14" s="48">
        <v>789</v>
      </c>
      <c r="AH14" s="48">
        <v>568</v>
      </c>
      <c r="AI14" s="48">
        <v>0</v>
      </c>
      <c r="AJ14" s="70">
        <f t="shared" si="6"/>
        <v>10790</v>
      </c>
      <c r="AK14" s="48">
        <f t="shared" si="6"/>
        <v>10829</v>
      </c>
      <c r="AL14" s="71">
        <f t="shared" si="6"/>
        <v>0</v>
      </c>
      <c r="AM14" s="48">
        <v>73</v>
      </c>
      <c r="AN14" s="48">
        <v>72</v>
      </c>
      <c r="AO14" s="48"/>
      <c r="AP14" s="60">
        <f>AVERAGE(R14,AD14)</f>
        <v>10075.5</v>
      </c>
      <c r="AQ14" s="49">
        <f>AVERAGE(S14,AE14)</f>
        <v>10346.5</v>
      </c>
      <c r="AR14" s="61"/>
      <c r="AS14" s="49">
        <f>AVERAGE(U14,AG14)</f>
        <v>976</v>
      </c>
      <c r="AT14" s="49">
        <f>AVERAGE(V14,AH14)</f>
        <v>609.5</v>
      </c>
      <c r="AU14" s="49"/>
      <c r="AV14" s="337">
        <f>AVERAGE(X14,AJ14)</f>
        <v>11051.5</v>
      </c>
      <c r="AW14" s="53">
        <f>AVERAGE(Y14,AK14)</f>
        <v>10956</v>
      </c>
      <c r="AX14" s="338"/>
      <c r="AY14" s="49">
        <f>AVERAGE(AA14,AM14)</f>
        <v>69.5</v>
      </c>
      <c r="AZ14" s="49">
        <f>AVERAGE(AB14,AN14)</f>
        <v>69</v>
      </c>
      <c r="BA14" s="49"/>
      <c r="BB14" s="339">
        <f t="shared" si="1"/>
        <v>66213.5</v>
      </c>
      <c r="BC14" s="340">
        <f t="shared" si="2"/>
        <v>11035.583333333334</v>
      </c>
      <c r="BD14" s="62">
        <f t="shared" si="3"/>
        <v>416.5</v>
      </c>
      <c r="BE14" s="34">
        <v>1903</v>
      </c>
      <c r="BF14" s="56"/>
    </row>
    <row r="15" spans="1:58" s="73" customFormat="1">
      <c r="A15" s="342" t="s">
        <v>78</v>
      </c>
      <c r="B15" s="75" t="s">
        <v>35</v>
      </c>
      <c r="C15" s="75" t="s">
        <v>79</v>
      </c>
      <c r="D15" s="81" t="s">
        <v>80</v>
      </c>
      <c r="E15" s="80" t="s">
        <v>81</v>
      </c>
      <c r="F15" s="343">
        <v>25037</v>
      </c>
      <c r="G15" s="75" t="s">
        <v>82</v>
      </c>
      <c r="H15" s="75" t="s">
        <v>47</v>
      </c>
      <c r="I15" s="75">
        <v>7</v>
      </c>
      <c r="J15" s="75">
        <v>196</v>
      </c>
      <c r="K15" s="75">
        <f t="shared" si="0"/>
        <v>1372</v>
      </c>
      <c r="L15" s="79" t="s">
        <v>83</v>
      </c>
      <c r="M15" s="79" t="s">
        <v>42</v>
      </c>
      <c r="N15" s="98" t="s">
        <v>64</v>
      </c>
      <c r="O15" s="75" t="s">
        <v>54</v>
      </c>
      <c r="P15" s="77" t="s">
        <v>77</v>
      </c>
      <c r="Q15" s="75" t="s">
        <v>84</v>
      </c>
      <c r="R15" s="82"/>
      <c r="S15" s="83"/>
      <c r="T15" s="84"/>
      <c r="U15" s="83"/>
      <c r="V15" s="83"/>
      <c r="W15" s="83"/>
      <c r="X15" s="82"/>
      <c r="Y15" s="83"/>
      <c r="Z15" s="84"/>
      <c r="AA15" s="83"/>
      <c r="AB15" s="83"/>
      <c r="AC15" s="83"/>
      <c r="AD15" s="82"/>
      <c r="AE15" s="83"/>
      <c r="AF15" s="84"/>
      <c r="AG15" s="83"/>
      <c r="AH15" s="83"/>
      <c r="AI15" s="83"/>
      <c r="AJ15" s="82">
        <f t="shared" si="6"/>
        <v>0</v>
      </c>
      <c r="AK15" s="83">
        <f t="shared" si="6"/>
        <v>0</v>
      </c>
      <c r="AL15" s="84">
        <f t="shared" si="6"/>
        <v>0</v>
      </c>
      <c r="AM15" s="83"/>
      <c r="AN15" s="83"/>
      <c r="AO15" s="83"/>
      <c r="AP15" s="82">
        <v>2926</v>
      </c>
      <c r="AQ15" s="83"/>
      <c r="AR15" s="84"/>
      <c r="AS15" s="83"/>
      <c r="AT15" s="83"/>
      <c r="AU15" s="296">
        <v>9204</v>
      </c>
      <c r="AV15" s="344">
        <f>AP15+AS15</f>
        <v>2926</v>
      </c>
      <c r="AW15" s="85"/>
      <c r="AX15" s="297">
        <f>AR15+AU15</f>
        <v>9204</v>
      </c>
      <c r="AY15" s="83"/>
      <c r="AZ15" s="83"/>
      <c r="BA15" s="83"/>
      <c r="BB15" s="345">
        <f>(AV15*5)+AW15+AX15</f>
        <v>23834</v>
      </c>
      <c r="BC15" s="346">
        <f t="shared" ref="BC15:BC22" si="7">IF($O15="M-Sa",(BB15/6),IF($O15="m-su",(BB15/7),IF($O15="M-F",(BB15/5),IF($O15="T-Su",(BB15/6),IF($O15="T-Sa",(BB15/5),IF($O15="T-F",(BB15/4),IF($O15="Su-F",(BB15/6),(BB15/7))))))))</f>
        <v>4766.8</v>
      </c>
      <c r="BD15" s="87">
        <f t="shared" si="3"/>
        <v>0</v>
      </c>
      <c r="BE15" s="75">
        <v>1946</v>
      </c>
    </row>
    <row r="16" spans="1:58" s="56" customFormat="1">
      <c r="A16" s="88" t="s">
        <v>86</v>
      </c>
      <c r="B16" s="75" t="s">
        <v>35</v>
      </c>
      <c r="C16" s="75" t="s">
        <v>79</v>
      </c>
      <c r="D16" s="81" t="s">
        <v>80</v>
      </c>
      <c r="E16" s="80" t="s">
        <v>87</v>
      </c>
      <c r="F16" s="343">
        <v>26380</v>
      </c>
      <c r="G16" s="75" t="s">
        <v>82</v>
      </c>
      <c r="H16" s="75" t="s">
        <v>40</v>
      </c>
      <c r="I16" s="75">
        <v>10</v>
      </c>
      <c r="J16" s="75">
        <v>300</v>
      </c>
      <c r="K16" s="75">
        <f t="shared" si="0"/>
        <v>3000</v>
      </c>
      <c r="L16" s="79"/>
      <c r="M16" s="79" t="s">
        <v>42</v>
      </c>
      <c r="N16" s="98" t="s">
        <v>64</v>
      </c>
      <c r="O16" s="75" t="s">
        <v>54</v>
      </c>
      <c r="P16" s="77" t="s">
        <v>88</v>
      </c>
      <c r="Q16" s="75" t="s">
        <v>84</v>
      </c>
      <c r="R16" s="82"/>
      <c r="S16" s="83"/>
      <c r="T16" s="84"/>
      <c r="U16" s="83"/>
      <c r="V16" s="83"/>
      <c r="W16" s="83"/>
      <c r="X16" s="82"/>
      <c r="Y16" s="83"/>
      <c r="Z16" s="84"/>
      <c r="AA16" s="83"/>
      <c r="AB16" s="83"/>
      <c r="AC16" s="83"/>
      <c r="AD16" s="82"/>
      <c r="AE16" s="83"/>
      <c r="AF16" s="84"/>
      <c r="AG16" s="83"/>
      <c r="AH16" s="83"/>
      <c r="AI16" s="83"/>
      <c r="AJ16" s="82">
        <f t="shared" si="6"/>
        <v>0</v>
      </c>
      <c r="AK16" s="83">
        <f t="shared" si="6"/>
        <v>0</v>
      </c>
      <c r="AL16" s="84">
        <f t="shared" si="6"/>
        <v>0</v>
      </c>
      <c r="AM16" s="83"/>
      <c r="AN16" s="83"/>
      <c r="AO16" s="83"/>
      <c r="AP16" s="82">
        <v>2143</v>
      </c>
      <c r="AQ16" s="83"/>
      <c r="AR16" s="84"/>
      <c r="AS16" s="83"/>
      <c r="AT16" s="83"/>
      <c r="AU16" s="83"/>
      <c r="AV16" s="344">
        <f>AP16+AS16</f>
        <v>2143</v>
      </c>
      <c r="AW16" s="85"/>
      <c r="AX16" s="348"/>
      <c r="AY16" s="83"/>
      <c r="AZ16" s="83"/>
      <c r="BA16" s="83"/>
      <c r="BB16" s="345">
        <f>IF($O16="M-Sa",(AV16*5)+AW16+AX16,IF($O16="m-su",(AV16*5)+AW16+AX16,IF($O16="M-F",(AV16*5),IF($O16="T-Su",(AV16*4)+AW16+AX16,IF($O16="T-Sa",(AV16*4)+AW16,IF($O16="T-F",(AV16*4),IF($O16="Su-F",(AV16*5)+AW16+AX16,(AV16*5+AW16+AX16))))))))</f>
        <v>10715</v>
      </c>
      <c r="BC16" s="346">
        <f t="shared" si="7"/>
        <v>2143</v>
      </c>
      <c r="BD16" s="87">
        <f t="shared" si="3"/>
        <v>0</v>
      </c>
      <c r="BE16" s="75">
        <v>1930</v>
      </c>
      <c r="BF16" s="73"/>
    </row>
    <row r="17" spans="1:58" s="56" customFormat="1">
      <c r="A17" s="57" t="s">
        <v>89</v>
      </c>
      <c r="B17" s="34" t="s">
        <v>35</v>
      </c>
      <c r="C17" s="34" t="s">
        <v>79</v>
      </c>
      <c r="D17" s="59" t="s">
        <v>80</v>
      </c>
      <c r="E17" s="39" t="s">
        <v>90</v>
      </c>
      <c r="F17" s="237">
        <v>184700</v>
      </c>
      <c r="G17" s="34" t="s">
        <v>68</v>
      </c>
      <c r="H17" s="34" t="s">
        <v>40</v>
      </c>
      <c r="I17" s="34">
        <v>10</v>
      </c>
      <c r="J17" s="34">
        <v>301</v>
      </c>
      <c r="K17" s="34">
        <f t="shared" si="0"/>
        <v>3010</v>
      </c>
      <c r="L17" s="38"/>
      <c r="M17" s="38" t="s">
        <v>42</v>
      </c>
      <c r="N17" s="64" t="s">
        <v>43</v>
      </c>
      <c r="O17" s="34" t="s">
        <v>49</v>
      </c>
      <c r="P17" s="58" t="s">
        <v>91</v>
      </c>
      <c r="Q17" s="34" t="s">
        <v>46</v>
      </c>
      <c r="R17" s="68">
        <v>8812</v>
      </c>
      <c r="S17" s="44">
        <v>9055</v>
      </c>
      <c r="T17" s="69">
        <v>8721</v>
      </c>
      <c r="U17" s="44">
        <v>1754</v>
      </c>
      <c r="V17" s="44">
        <v>1502</v>
      </c>
      <c r="W17" s="44">
        <v>1499</v>
      </c>
      <c r="X17" s="68">
        <f>R17+U17</f>
        <v>10566</v>
      </c>
      <c r="Y17" s="44">
        <f>S17+V17</f>
        <v>10557</v>
      </c>
      <c r="Z17" s="69">
        <f>T17+W17</f>
        <v>10220</v>
      </c>
      <c r="AA17" s="44">
        <v>107</v>
      </c>
      <c r="AB17" s="44">
        <v>107</v>
      </c>
      <c r="AC17" s="44"/>
      <c r="AD17" s="70">
        <v>8828</v>
      </c>
      <c r="AE17" s="48">
        <v>9015</v>
      </c>
      <c r="AF17" s="71">
        <v>8756</v>
      </c>
      <c r="AG17" s="48">
        <v>1648</v>
      </c>
      <c r="AH17" s="48">
        <v>1521</v>
      </c>
      <c r="AI17" s="48">
        <v>1518</v>
      </c>
      <c r="AJ17" s="70">
        <f t="shared" si="6"/>
        <v>10476</v>
      </c>
      <c r="AK17" s="48">
        <f t="shared" si="6"/>
        <v>10536</v>
      </c>
      <c r="AL17" s="71">
        <f t="shared" si="6"/>
        <v>10274</v>
      </c>
      <c r="AM17" s="48">
        <v>104</v>
      </c>
      <c r="AN17" s="48">
        <v>104</v>
      </c>
      <c r="AO17" s="48">
        <v>104</v>
      </c>
      <c r="AP17" s="60">
        <f t="shared" ref="AP17:BA17" si="8">AVERAGE(R17,AD17)</f>
        <v>8820</v>
      </c>
      <c r="AQ17" s="49">
        <f t="shared" si="8"/>
        <v>9035</v>
      </c>
      <c r="AR17" s="61">
        <f t="shared" si="8"/>
        <v>8738.5</v>
      </c>
      <c r="AS17" s="49">
        <f t="shared" si="8"/>
        <v>1701</v>
      </c>
      <c r="AT17" s="49">
        <f t="shared" si="8"/>
        <v>1511.5</v>
      </c>
      <c r="AU17" s="49">
        <f t="shared" si="8"/>
        <v>1508.5</v>
      </c>
      <c r="AV17" s="337">
        <f t="shared" si="8"/>
        <v>10521</v>
      </c>
      <c r="AW17" s="53">
        <f t="shared" si="8"/>
        <v>10546.5</v>
      </c>
      <c r="AX17" s="338">
        <f t="shared" si="8"/>
        <v>10247</v>
      </c>
      <c r="AY17" s="49">
        <f t="shared" si="8"/>
        <v>105.5</v>
      </c>
      <c r="AZ17" s="49">
        <f t="shared" si="8"/>
        <v>105.5</v>
      </c>
      <c r="BA17" s="49">
        <f t="shared" si="8"/>
        <v>104</v>
      </c>
      <c r="BB17" s="339">
        <f>IF($O17="M-Sa",(AV17*5)+AW17+AX17,IF($O17="m-su",(AV17*5)+AW17+AX17,IF($O17="M-F",(AV17*5),IF($O17="T-Su",(AV17*4)+AW17+AX17,IF($O17="T-Sa",(AV17*4)+AW17,IF($O17="T-F",(AV17*4),IF($O17="Su-F",(AV17*5)+AW17+AX17,(AV17*5+AW17+AX17))))))))</f>
        <v>73398.5</v>
      </c>
      <c r="BC17" s="340">
        <f t="shared" si="7"/>
        <v>10485.5</v>
      </c>
      <c r="BD17" s="62">
        <f t="shared" si="3"/>
        <v>737</v>
      </c>
      <c r="BE17" s="34">
        <v>1904</v>
      </c>
    </row>
    <row r="18" spans="1:58" s="56" customFormat="1">
      <c r="A18" s="88" t="s">
        <v>92</v>
      </c>
      <c r="B18" s="75" t="s">
        <v>35</v>
      </c>
      <c r="C18" s="75" t="s">
        <v>79</v>
      </c>
      <c r="D18" s="81" t="s">
        <v>80</v>
      </c>
      <c r="E18" s="80" t="s">
        <v>93</v>
      </c>
      <c r="F18" s="343">
        <v>6723</v>
      </c>
      <c r="G18" s="75" t="s">
        <v>82</v>
      </c>
      <c r="H18" s="75" t="s">
        <v>47</v>
      </c>
      <c r="I18" s="75">
        <v>7</v>
      </c>
      <c r="J18" s="75">
        <v>196</v>
      </c>
      <c r="K18" s="75">
        <f t="shared" si="0"/>
        <v>1372</v>
      </c>
      <c r="L18" s="79" t="s">
        <v>83</v>
      </c>
      <c r="M18" s="79" t="s">
        <v>42</v>
      </c>
      <c r="N18" s="98" t="s">
        <v>64</v>
      </c>
      <c r="O18" s="75" t="s">
        <v>54</v>
      </c>
      <c r="P18" s="77" t="s">
        <v>77</v>
      </c>
      <c r="Q18" s="75" t="s">
        <v>84</v>
      </c>
      <c r="R18" s="82"/>
      <c r="S18" s="83"/>
      <c r="T18" s="84"/>
      <c r="U18" s="83"/>
      <c r="V18" s="83"/>
      <c r="W18" s="83"/>
      <c r="X18" s="82"/>
      <c r="Y18" s="83"/>
      <c r="Z18" s="84"/>
      <c r="AA18" s="83"/>
      <c r="AB18" s="83"/>
      <c r="AC18" s="83"/>
      <c r="AD18" s="82"/>
      <c r="AE18" s="83"/>
      <c r="AF18" s="84"/>
      <c r="AG18" s="83"/>
      <c r="AH18" s="83"/>
      <c r="AI18" s="83"/>
      <c r="AJ18" s="82">
        <f t="shared" si="6"/>
        <v>0</v>
      </c>
      <c r="AK18" s="83">
        <f t="shared" si="6"/>
        <v>0</v>
      </c>
      <c r="AL18" s="84">
        <f t="shared" si="6"/>
        <v>0</v>
      </c>
      <c r="AM18" s="83"/>
      <c r="AN18" s="83"/>
      <c r="AO18" s="83"/>
      <c r="AP18" s="82">
        <v>1183</v>
      </c>
      <c r="AQ18" s="83"/>
      <c r="AR18" s="84"/>
      <c r="AS18" s="83">
        <v>1860</v>
      </c>
      <c r="AT18" s="83"/>
      <c r="AU18" s="83"/>
      <c r="AV18" s="344">
        <f>AP18+AS18</f>
        <v>3043</v>
      </c>
      <c r="AW18" s="85"/>
      <c r="AX18" s="348"/>
      <c r="AY18" s="83">
        <v>12</v>
      </c>
      <c r="AZ18" s="83"/>
      <c r="BA18" s="83"/>
      <c r="BB18" s="345">
        <f>IF($O18="M-Sa",(AV18*5)+AW18+AX18,IF($O18="m-su",(AV18*5)+AW18+AX18,IF($O18="M-F",(AV18*5),IF($O18="T-Su",(AV18*4)+AW18+AX18,IF($O18="T-Sa",(AV18*4)+AW18,IF($O18="T-F",(AV18*4),IF($O18="Su-F",(AV18*5)+AW18+AX18,(AV18*5+AW18+AX18))))))))</f>
        <v>15215</v>
      </c>
      <c r="BC18" s="346">
        <f t="shared" si="7"/>
        <v>3043</v>
      </c>
      <c r="BD18" s="87">
        <f t="shared" si="3"/>
        <v>60</v>
      </c>
      <c r="BE18" s="75">
        <v>1932</v>
      </c>
      <c r="BF18" s="73"/>
    </row>
    <row r="19" spans="1:58" s="56" customFormat="1">
      <c r="A19" s="350" t="s">
        <v>94</v>
      </c>
      <c r="B19" s="75" t="s">
        <v>35</v>
      </c>
      <c r="C19" s="75" t="s">
        <v>79</v>
      </c>
      <c r="D19" s="81" t="s">
        <v>80</v>
      </c>
      <c r="E19" s="80" t="s">
        <v>95</v>
      </c>
      <c r="F19" s="343">
        <v>98021</v>
      </c>
      <c r="G19" s="75" t="s">
        <v>63</v>
      </c>
      <c r="H19" s="75" t="s">
        <v>40</v>
      </c>
      <c r="I19" s="75">
        <v>10</v>
      </c>
      <c r="J19" s="75">
        <v>301</v>
      </c>
      <c r="K19" s="75">
        <f t="shared" si="0"/>
        <v>3010</v>
      </c>
      <c r="L19" s="79"/>
      <c r="M19" s="79" t="s">
        <v>42</v>
      </c>
      <c r="N19" s="98" t="s">
        <v>43</v>
      </c>
      <c r="O19" s="75" t="s">
        <v>44</v>
      </c>
      <c r="P19" s="77" t="s">
        <v>88</v>
      </c>
      <c r="Q19" s="75" t="s">
        <v>46</v>
      </c>
      <c r="R19" s="89">
        <f>((4032*4)+3873)/5</f>
        <v>4000.2</v>
      </c>
      <c r="S19" s="90">
        <v>4032</v>
      </c>
      <c r="T19" s="91"/>
      <c r="U19" s="90">
        <v>593</v>
      </c>
      <c r="V19" s="90">
        <v>593</v>
      </c>
      <c r="W19" s="351">
        <v>29814</v>
      </c>
      <c r="X19" s="89">
        <f t="shared" ref="X19:Z22" si="9">R19+U19</f>
        <v>4593.2</v>
      </c>
      <c r="Y19" s="90">
        <f t="shared" si="9"/>
        <v>4625</v>
      </c>
      <c r="Z19" s="352">
        <f t="shared" si="9"/>
        <v>29814</v>
      </c>
      <c r="AA19" s="90">
        <v>0</v>
      </c>
      <c r="AB19" s="90">
        <v>0</v>
      </c>
      <c r="AC19" s="90">
        <v>0</v>
      </c>
      <c r="AD19" s="92">
        <f>((3857*4)+3749)/5</f>
        <v>3835.4</v>
      </c>
      <c r="AE19" s="93">
        <v>3857</v>
      </c>
      <c r="AF19" s="94"/>
      <c r="AG19" s="93">
        <v>626</v>
      </c>
      <c r="AH19" s="93">
        <v>626</v>
      </c>
      <c r="AI19" s="95">
        <v>30646</v>
      </c>
      <c r="AJ19" s="92">
        <f t="shared" si="6"/>
        <v>4461.3999999999996</v>
      </c>
      <c r="AK19" s="93">
        <f t="shared" si="6"/>
        <v>4483</v>
      </c>
      <c r="AL19" s="96">
        <f t="shared" si="6"/>
        <v>30646</v>
      </c>
      <c r="AM19" s="93"/>
      <c r="AN19" s="93"/>
      <c r="AO19" s="93"/>
      <c r="AP19" s="82">
        <f>AVERAGE(R19,AD19)</f>
        <v>3917.8</v>
      </c>
      <c r="AQ19" s="83">
        <f>AVERAGE(S19,AE19)</f>
        <v>3944.5</v>
      </c>
      <c r="AR19" s="84"/>
      <c r="AS19" s="83">
        <f>AVERAGE(U19,AG19)</f>
        <v>609.5</v>
      </c>
      <c r="AT19" s="83">
        <f>AVERAGE(V19,AH19)</f>
        <v>609.5</v>
      </c>
      <c r="AU19" s="297">
        <f t="shared" ref="AU19:AX20" si="10">AVERAGE(W19,AI19)</f>
        <v>30230</v>
      </c>
      <c r="AV19" s="344">
        <f t="shared" si="10"/>
        <v>4527.2999999999993</v>
      </c>
      <c r="AW19" s="85">
        <f t="shared" si="10"/>
        <v>4554</v>
      </c>
      <c r="AX19" s="297">
        <f t="shared" si="10"/>
        <v>30230</v>
      </c>
      <c r="AY19" s="83"/>
      <c r="AZ19" s="83"/>
      <c r="BA19" s="83"/>
      <c r="BB19" s="345">
        <f>(AV19*5)+AW19+AX19</f>
        <v>57420.5</v>
      </c>
      <c r="BC19" s="346">
        <f t="shared" si="7"/>
        <v>9570.0833333333339</v>
      </c>
      <c r="BD19" s="87">
        <f t="shared" si="3"/>
        <v>0</v>
      </c>
      <c r="BE19" s="75">
        <v>1874</v>
      </c>
      <c r="BF19" s="73"/>
    </row>
    <row r="20" spans="1:58" s="56" customFormat="1">
      <c r="A20" s="57" t="s">
        <v>96</v>
      </c>
      <c r="B20" s="34" t="s">
        <v>35</v>
      </c>
      <c r="C20" s="34" t="s">
        <v>79</v>
      </c>
      <c r="D20" s="59" t="s">
        <v>80</v>
      </c>
      <c r="E20" s="39" t="s">
        <v>97</v>
      </c>
      <c r="F20" s="237">
        <v>42361</v>
      </c>
      <c r="G20" s="34" t="s">
        <v>82</v>
      </c>
      <c r="H20" s="34" t="s">
        <v>40</v>
      </c>
      <c r="I20" s="34">
        <v>10</v>
      </c>
      <c r="J20" s="34">
        <v>301</v>
      </c>
      <c r="K20" s="34">
        <f t="shared" si="0"/>
        <v>3010</v>
      </c>
      <c r="L20" s="38"/>
      <c r="M20" s="38" t="s">
        <v>42</v>
      </c>
      <c r="N20" s="64" t="s">
        <v>43</v>
      </c>
      <c r="O20" s="34" t="s">
        <v>49</v>
      </c>
      <c r="P20" s="58" t="s">
        <v>91</v>
      </c>
      <c r="Q20" s="34" t="s">
        <v>46</v>
      </c>
      <c r="R20" s="68">
        <v>5216</v>
      </c>
      <c r="S20" s="44">
        <v>5090</v>
      </c>
      <c r="T20" s="69">
        <v>4842</v>
      </c>
      <c r="U20" s="44">
        <v>382</v>
      </c>
      <c r="V20" s="44">
        <v>388</v>
      </c>
      <c r="W20" s="44">
        <v>345</v>
      </c>
      <c r="X20" s="68">
        <f t="shared" si="9"/>
        <v>5598</v>
      </c>
      <c r="Y20" s="44">
        <f t="shared" si="9"/>
        <v>5478</v>
      </c>
      <c r="Z20" s="69">
        <f t="shared" si="9"/>
        <v>5187</v>
      </c>
      <c r="AA20" s="44">
        <v>100</v>
      </c>
      <c r="AB20" s="44">
        <v>99</v>
      </c>
      <c r="AC20" s="44">
        <v>99</v>
      </c>
      <c r="AD20" s="70">
        <v>5583</v>
      </c>
      <c r="AE20" s="48">
        <v>5417</v>
      </c>
      <c r="AF20" s="71">
        <v>5165</v>
      </c>
      <c r="AG20" s="48">
        <v>88</v>
      </c>
      <c r="AH20" s="48">
        <v>88</v>
      </c>
      <c r="AI20" s="48">
        <v>88</v>
      </c>
      <c r="AJ20" s="70">
        <f t="shared" si="6"/>
        <v>5671</v>
      </c>
      <c r="AK20" s="48">
        <f t="shared" si="6"/>
        <v>5505</v>
      </c>
      <c r="AL20" s="71">
        <f t="shared" si="6"/>
        <v>5253</v>
      </c>
      <c r="AM20" s="48">
        <v>86</v>
      </c>
      <c r="AN20" s="48">
        <v>85</v>
      </c>
      <c r="AO20" s="48">
        <v>84</v>
      </c>
      <c r="AP20" s="60">
        <f>AVERAGE(R20,AD20)</f>
        <v>5399.5</v>
      </c>
      <c r="AQ20" s="49">
        <f>AVERAGE(S20,AE20)</f>
        <v>5253.5</v>
      </c>
      <c r="AR20" s="61">
        <f>AVERAGE(T20,AF20)</f>
        <v>5003.5</v>
      </c>
      <c r="AS20" s="49">
        <f>AVERAGE(U20,AG20)</f>
        <v>235</v>
      </c>
      <c r="AT20" s="49">
        <f>AVERAGE(V20,AH20)</f>
        <v>238</v>
      </c>
      <c r="AU20" s="49">
        <f>AVERAGE(W20,AI20)</f>
        <v>216.5</v>
      </c>
      <c r="AV20" s="337">
        <f t="shared" si="10"/>
        <v>5634.5</v>
      </c>
      <c r="AW20" s="53">
        <f t="shared" si="10"/>
        <v>5491.5</v>
      </c>
      <c r="AX20" s="338">
        <f t="shared" si="10"/>
        <v>5220</v>
      </c>
      <c r="AY20" s="49">
        <f>AVERAGE(AA20,AM20)</f>
        <v>93</v>
      </c>
      <c r="AZ20" s="49">
        <f>AVERAGE(AB20,AN20)</f>
        <v>92</v>
      </c>
      <c r="BA20" s="49">
        <f>AVERAGE(AC20,AO20)</f>
        <v>91.5</v>
      </c>
      <c r="BB20" s="339">
        <f>IF($O20="M-Sa",(AV20*5)+AW20+AX20,IF($O20="m-su",(AV20*5)+AW20+AX20,IF($O20="M-F",(AV20*5),IF($O20="T-Su",(AV20*4)+AW20+AX20,IF($O20="T-Sa",(AV20*4)+AW20,IF($O20="T-F",(AV20*4),IF($O20="Su-F",(AV20*5)+AW20+AX20,(AV20*5+AW20+AX20))))))))</f>
        <v>38884</v>
      </c>
      <c r="BC20" s="340">
        <f t="shared" si="7"/>
        <v>5554.8571428571431</v>
      </c>
      <c r="BD20" s="62">
        <f t="shared" si="3"/>
        <v>648.5</v>
      </c>
      <c r="BE20" s="34">
        <v>1906</v>
      </c>
    </row>
    <row r="21" spans="1:58" s="73" customFormat="1">
      <c r="A21" s="88" t="s">
        <v>98</v>
      </c>
      <c r="B21" s="75" t="s">
        <v>35</v>
      </c>
      <c r="C21" s="75" t="s">
        <v>79</v>
      </c>
      <c r="D21" s="81" t="s">
        <v>80</v>
      </c>
      <c r="E21" s="80" t="s">
        <v>99</v>
      </c>
      <c r="F21" s="343">
        <v>25465</v>
      </c>
      <c r="G21" s="75" t="s">
        <v>82</v>
      </c>
      <c r="H21" s="75" t="s">
        <v>40</v>
      </c>
      <c r="I21" s="75">
        <v>10</v>
      </c>
      <c r="J21" s="75">
        <v>301</v>
      </c>
      <c r="K21" s="75">
        <f t="shared" si="0"/>
        <v>3010</v>
      </c>
      <c r="L21" s="79"/>
      <c r="M21" s="79" t="s">
        <v>42</v>
      </c>
      <c r="N21" s="98" t="s">
        <v>64</v>
      </c>
      <c r="O21" s="75" t="s">
        <v>54</v>
      </c>
      <c r="P21" s="77" t="s">
        <v>88</v>
      </c>
      <c r="Q21" s="75" t="s">
        <v>46</v>
      </c>
      <c r="R21" s="89">
        <v>3190</v>
      </c>
      <c r="S21" s="90"/>
      <c r="T21" s="91"/>
      <c r="U21" s="90">
        <v>17</v>
      </c>
      <c r="V21" s="90"/>
      <c r="W21" s="90"/>
      <c r="X21" s="89">
        <f t="shared" si="9"/>
        <v>3207</v>
      </c>
      <c r="Y21" s="90">
        <f t="shared" si="9"/>
        <v>0</v>
      </c>
      <c r="Z21" s="91">
        <f t="shared" si="9"/>
        <v>0</v>
      </c>
      <c r="AA21" s="90"/>
      <c r="AB21" s="90"/>
      <c r="AC21" s="90"/>
      <c r="AD21" s="92">
        <f>((3054*3)+2880+2884)/5</f>
        <v>2985.2</v>
      </c>
      <c r="AE21" s="93"/>
      <c r="AF21" s="94"/>
      <c r="AG21" s="93">
        <f>((60*3)+7457+9331)/5</f>
        <v>3393.6</v>
      </c>
      <c r="AH21" s="93"/>
      <c r="AI21" s="93"/>
      <c r="AJ21" s="92">
        <f t="shared" si="6"/>
        <v>6378.7999999999993</v>
      </c>
      <c r="AK21" s="93">
        <f t="shared" si="6"/>
        <v>0</v>
      </c>
      <c r="AL21" s="94">
        <f t="shared" si="6"/>
        <v>0</v>
      </c>
      <c r="AM21" s="93"/>
      <c r="AN21" s="93"/>
      <c r="AO21" s="93"/>
      <c r="AP21" s="82">
        <f>AVERAGE(R21,AD21)</f>
        <v>3087.6</v>
      </c>
      <c r="AQ21" s="83"/>
      <c r="AR21" s="84"/>
      <c r="AS21" s="83">
        <f>AVERAGE(U21,AG21)</f>
        <v>1705.3</v>
      </c>
      <c r="AT21" s="83"/>
      <c r="AU21" s="83"/>
      <c r="AV21" s="344">
        <f>AVERAGE(X21,AJ21)</f>
        <v>4792.8999999999996</v>
      </c>
      <c r="AW21" s="85"/>
      <c r="AX21" s="348"/>
      <c r="AY21" s="83"/>
      <c r="AZ21" s="83"/>
      <c r="BA21" s="83"/>
      <c r="BB21" s="345">
        <f>IF($O21="M-Sa",(AV21*5)+AW21+AX21,IF($O21="m-su",(AV21*5)+AW21+AX21,IF($O21="M-F",(AV21*5),IF($O21="T-Su",(AV21*4)+AW21+AX21,IF($O21="T-Sa",(AV21*4)+AW21,IF($O21="T-F",(AV21*4),IF($O21="Su-F",(AV21*5)+AW21+AX21,(AV21*5+AW21+AX21))))))))</f>
        <v>23964.5</v>
      </c>
      <c r="BC21" s="346">
        <f t="shared" si="7"/>
        <v>4792.8999999999996</v>
      </c>
      <c r="BD21" s="87">
        <f t="shared" si="3"/>
        <v>0</v>
      </c>
      <c r="BE21" s="75">
        <v>1967</v>
      </c>
    </row>
    <row r="22" spans="1:58" s="73" customFormat="1">
      <c r="A22" s="350" t="s">
        <v>100</v>
      </c>
      <c r="B22" s="75" t="s">
        <v>35</v>
      </c>
      <c r="C22" s="75" t="s">
        <v>79</v>
      </c>
      <c r="D22" s="81" t="s">
        <v>80</v>
      </c>
      <c r="E22" s="80" t="s">
        <v>101</v>
      </c>
      <c r="F22" s="343">
        <v>84232</v>
      </c>
      <c r="G22" s="75" t="s">
        <v>63</v>
      </c>
      <c r="H22" s="75" t="s">
        <v>40</v>
      </c>
      <c r="I22" s="75">
        <v>10</v>
      </c>
      <c r="J22" s="75">
        <v>301</v>
      </c>
      <c r="K22" s="75">
        <f t="shared" si="0"/>
        <v>3010</v>
      </c>
      <c r="L22" s="79"/>
      <c r="M22" s="38" t="s">
        <v>42</v>
      </c>
      <c r="N22" s="98" t="s">
        <v>43</v>
      </c>
      <c r="O22" s="75" t="s">
        <v>44</v>
      </c>
      <c r="P22" s="77" t="s">
        <v>88</v>
      </c>
      <c r="Q22" s="75" t="s">
        <v>46</v>
      </c>
      <c r="R22" s="89">
        <f>((9006*3)+9122+9452)/5</f>
        <v>9118.4</v>
      </c>
      <c r="S22" s="90">
        <v>9452</v>
      </c>
      <c r="T22" s="91"/>
      <c r="U22" s="90">
        <v>82</v>
      </c>
      <c r="V22" s="90">
        <v>82</v>
      </c>
      <c r="W22" s="351">
        <v>14512</v>
      </c>
      <c r="X22" s="89">
        <f t="shared" si="9"/>
        <v>9200.4</v>
      </c>
      <c r="Y22" s="90">
        <f t="shared" si="9"/>
        <v>9534</v>
      </c>
      <c r="Z22" s="352">
        <f t="shared" si="9"/>
        <v>14512</v>
      </c>
      <c r="AA22" s="90">
        <f>((156*3)+159+159)/5</f>
        <v>157.19999999999999</v>
      </c>
      <c r="AB22" s="90">
        <v>159</v>
      </c>
      <c r="AC22" s="90"/>
      <c r="AD22" s="92">
        <f>((8623*3)+8693+8986)/5</f>
        <v>8709.6</v>
      </c>
      <c r="AE22" s="93">
        <v>8986</v>
      </c>
      <c r="AF22" s="94"/>
      <c r="AG22" s="93">
        <v>65</v>
      </c>
      <c r="AH22" s="93">
        <v>65</v>
      </c>
      <c r="AI22" s="93">
        <v>14032</v>
      </c>
      <c r="AJ22" s="92">
        <f t="shared" si="6"/>
        <v>8774.6</v>
      </c>
      <c r="AK22" s="93">
        <f t="shared" si="6"/>
        <v>9051</v>
      </c>
      <c r="AL22" s="94">
        <f t="shared" si="6"/>
        <v>14032</v>
      </c>
      <c r="AM22" s="93">
        <f>((155*3)+160+156)/5</f>
        <v>156.19999999999999</v>
      </c>
      <c r="AN22" s="93">
        <v>156</v>
      </c>
      <c r="AO22" s="93"/>
      <c r="AP22" s="82">
        <f>AVERAGE(R22,AD22)</f>
        <v>8914</v>
      </c>
      <c r="AQ22" s="83">
        <f>AVERAGE(S22,AE22)</f>
        <v>9219</v>
      </c>
      <c r="AR22" s="84"/>
      <c r="AS22" s="83">
        <f>AVERAGE(U22,AG22)</f>
        <v>73.5</v>
      </c>
      <c r="AT22" s="83">
        <f>AVERAGE(V22,AH22)</f>
        <v>73.5</v>
      </c>
      <c r="AU22" s="296">
        <f>AVERAGE(W22,AI22)</f>
        <v>14272</v>
      </c>
      <c r="AV22" s="344">
        <f>AVERAGE(X22,AJ22)</f>
        <v>8987.5</v>
      </c>
      <c r="AW22" s="85">
        <f>AVERAGE(Y22,AK22)</f>
        <v>9292.5</v>
      </c>
      <c r="AX22" s="297">
        <f>AVERAGE(Z22,AL22)</f>
        <v>14272</v>
      </c>
      <c r="AY22" s="83">
        <f>AVERAGE(AA22,AM22)</f>
        <v>156.69999999999999</v>
      </c>
      <c r="AZ22" s="83">
        <f>AVERAGE(AB22,AN22)</f>
        <v>157.5</v>
      </c>
      <c r="BA22" s="83"/>
      <c r="BB22" s="345">
        <f>(AV22*5)+AW22+AX22</f>
        <v>68502</v>
      </c>
      <c r="BC22" s="346">
        <f t="shared" si="7"/>
        <v>11417</v>
      </c>
      <c r="BD22" s="87">
        <f t="shared" si="3"/>
        <v>941</v>
      </c>
      <c r="BE22" s="75">
        <v>1916</v>
      </c>
    </row>
    <row r="23" spans="1:58" s="73" customFormat="1">
      <c r="A23" s="88" t="s">
        <v>102</v>
      </c>
      <c r="B23" s="75" t="s">
        <v>35</v>
      </c>
      <c r="C23" s="75" t="s">
        <v>79</v>
      </c>
      <c r="D23" s="81" t="s">
        <v>80</v>
      </c>
      <c r="E23" s="80" t="s">
        <v>103</v>
      </c>
      <c r="F23" s="343">
        <v>9276</v>
      </c>
      <c r="G23" s="75" t="s">
        <v>82</v>
      </c>
      <c r="H23" s="75" t="s">
        <v>47</v>
      </c>
      <c r="I23" s="75">
        <v>7</v>
      </c>
      <c r="J23" s="75">
        <v>192</v>
      </c>
      <c r="K23" s="75">
        <f t="shared" si="0"/>
        <v>1344</v>
      </c>
      <c r="L23" s="79" t="s">
        <v>305</v>
      </c>
      <c r="M23" s="79" t="s">
        <v>42</v>
      </c>
      <c r="N23" s="98" t="s">
        <v>64</v>
      </c>
      <c r="O23" s="75" t="s">
        <v>104</v>
      </c>
      <c r="P23" s="77" t="s">
        <v>77</v>
      </c>
      <c r="Q23" s="75" t="s">
        <v>84</v>
      </c>
      <c r="R23" s="82"/>
      <c r="S23" s="83"/>
      <c r="T23" s="84"/>
      <c r="U23" s="83"/>
      <c r="V23" s="83"/>
      <c r="W23" s="83"/>
      <c r="X23" s="82"/>
      <c r="Y23" s="83"/>
      <c r="Z23" s="84"/>
      <c r="AA23" s="83"/>
      <c r="AB23" s="83"/>
      <c r="AC23" s="83"/>
      <c r="AD23" s="82"/>
      <c r="AE23" s="83"/>
      <c r="AF23" s="84"/>
      <c r="AG23" s="83"/>
      <c r="AH23" s="83"/>
      <c r="AI23" s="83"/>
      <c r="AJ23" s="82">
        <f t="shared" si="6"/>
        <v>0</v>
      </c>
      <c r="AK23" s="83">
        <f t="shared" si="6"/>
        <v>0</v>
      </c>
      <c r="AL23" s="84">
        <f t="shared" si="6"/>
        <v>0</v>
      </c>
      <c r="AM23" s="83"/>
      <c r="AN23" s="83"/>
      <c r="AO23" s="83"/>
      <c r="AP23" s="82">
        <v>2722</v>
      </c>
      <c r="AQ23" s="83"/>
      <c r="AR23" s="84"/>
      <c r="AS23" s="83">
        <v>9</v>
      </c>
      <c r="AT23" s="83"/>
      <c r="AU23" s="83"/>
      <c r="AV23" s="344">
        <f>AP23+AS23</f>
        <v>2731</v>
      </c>
      <c r="AW23" s="85"/>
      <c r="AX23" s="348"/>
      <c r="AY23" s="83">
        <v>40</v>
      </c>
      <c r="AZ23" s="83"/>
      <c r="BA23" s="83"/>
      <c r="BB23" s="345">
        <f t="shared" ref="BB23:BB44" si="11">IF($O23="M-Sa",(AV23*5)+AW23+AX23,IF($O23="m-su",(AV23*5)+AW23+AX23,IF($O23="M-F",(AV23*5),IF($O23="T-Su",(AV23*4)+AW23+AX23,IF($O23="T-Sa",(AV23*4)+AW23,IF($O23="T-F",(AV23*4),IF($O23="Su-F",(AV23*5)+AW23+AX23,(AV23*5+AW23+AX23))))))))</f>
        <v>10924</v>
      </c>
      <c r="BC23" s="346">
        <f t="shared" ref="BC23:BC44" si="12">IF($O23="M-Sa",(BB23/6),IF($O23="m-su",(BB23/7),IF($O23="M-F",(BB23/5),IF($O23="T-Su",(BB23/6),IF($O23="T-Sa",(BB23/5),IF($O23="T-F",(BB23/4),IF($O23="Su-F",(BB23/6),(BB23/7))))))))</f>
        <v>2731</v>
      </c>
      <c r="BD23" s="87">
        <f t="shared" si="3"/>
        <v>160</v>
      </c>
      <c r="BE23" s="75">
        <v>1895</v>
      </c>
    </row>
    <row r="24" spans="1:58" s="56" customFormat="1">
      <c r="A24" s="57" t="s">
        <v>105</v>
      </c>
      <c r="B24" s="34" t="s">
        <v>35</v>
      </c>
      <c r="C24" s="34" t="s">
        <v>79</v>
      </c>
      <c r="D24" s="59" t="s">
        <v>80</v>
      </c>
      <c r="E24" s="39" t="s">
        <v>106</v>
      </c>
      <c r="F24" s="237">
        <v>2463700</v>
      </c>
      <c r="G24" s="34" t="s">
        <v>39</v>
      </c>
      <c r="H24" s="34" t="s">
        <v>47</v>
      </c>
      <c r="I24" s="34">
        <v>9</v>
      </c>
      <c r="J24" s="34">
        <v>165</v>
      </c>
      <c r="K24" s="34">
        <f t="shared" si="0"/>
        <v>1485</v>
      </c>
      <c r="L24" s="38" t="s">
        <v>107</v>
      </c>
      <c r="M24" s="38" t="s">
        <v>42</v>
      </c>
      <c r="N24" s="64" t="s">
        <v>43</v>
      </c>
      <c r="O24" s="34" t="s">
        <v>108</v>
      </c>
      <c r="P24" s="58" t="s">
        <v>45</v>
      </c>
      <c r="Q24" s="34" t="s">
        <v>46</v>
      </c>
      <c r="R24" s="68">
        <v>69732</v>
      </c>
      <c r="S24" s="44"/>
      <c r="T24" s="69">
        <v>88378</v>
      </c>
      <c r="U24" s="44">
        <v>64830</v>
      </c>
      <c r="V24" s="44"/>
      <c r="W24" s="44">
        <v>59724</v>
      </c>
      <c r="X24" s="68">
        <f>R24+U24</f>
        <v>134562</v>
      </c>
      <c r="Y24" s="44"/>
      <c r="Z24" s="69">
        <f>T24+W24</f>
        <v>148102</v>
      </c>
      <c r="AA24" s="44">
        <v>54615</v>
      </c>
      <c r="AB24" s="44"/>
      <c r="AC24" s="44">
        <v>52119</v>
      </c>
      <c r="AD24" s="70">
        <v>67349</v>
      </c>
      <c r="AE24" s="48"/>
      <c r="AF24" s="71">
        <v>85484</v>
      </c>
      <c r="AG24" s="48">
        <v>46842</v>
      </c>
      <c r="AH24" s="48"/>
      <c r="AI24" s="48">
        <v>44397</v>
      </c>
      <c r="AJ24" s="70">
        <f t="shared" si="6"/>
        <v>114191</v>
      </c>
      <c r="AK24" s="48">
        <f t="shared" si="6"/>
        <v>0</v>
      </c>
      <c r="AL24" s="71">
        <f t="shared" si="6"/>
        <v>129881</v>
      </c>
      <c r="AM24" s="48">
        <v>39210</v>
      </c>
      <c r="AN24" s="48"/>
      <c r="AO24" s="48">
        <v>37927</v>
      </c>
      <c r="AP24" s="60">
        <f>AVERAGE(R24,AD24)</f>
        <v>68540.5</v>
      </c>
      <c r="AQ24" s="49"/>
      <c r="AR24" s="61">
        <f>AVERAGE(T24,AF24)</f>
        <v>86931</v>
      </c>
      <c r="AS24" s="49">
        <f>AVERAGE(U24,AG24)</f>
        <v>55836</v>
      </c>
      <c r="AT24" s="49"/>
      <c r="AU24" s="49">
        <f>AVERAGE(W24,AI24)</f>
        <v>52060.5</v>
      </c>
      <c r="AV24" s="337">
        <f>AVERAGE(X24,AJ24)</f>
        <v>124376.5</v>
      </c>
      <c r="AW24" s="53"/>
      <c r="AX24" s="338">
        <f>AVERAGE(Z24,AL24)</f>
        <v>138991.5</v>
      </c>
      <c r="AY24" s="49">
        <f>AVERAGE(AA24,AM24)</f>
        <v>46912.5</v>
      </c>
      <c r="AZ24" s="49"/>
      <c r="BA24" s="49">
        <f>AVERAGE(AC24,AO24)</f>
        <v>45023</v>
      </c>
      <c r="BB24" s="339">
        <f t="shared" si="11"/>
        <v>760874</v>
      </c>
      <c r="BC24" s="340">
        <f t="shared" si="12"/>
        <v>126812.33333333333</v>
      </c>
      <c r="BD24" s="62">
        <f t="shared" si="3"/>
        <v>279585.5</v>
      </c>
      <c r="BE24" s="34">
        <v>1898</v>
      </c>
    </row>
    <row r="25" spans="1:58" s="97" customFormat="1">
      <c r="A25" s="57" t="s">
        <v>109</v>
      </c>
      <c r="B25" s="34" t="s">
        <v>35</v>
      </c>
      <c r="C25" s="34" t="s">
        <v>79</v>
      </c>
      <c r="D25" s="59" t="s">
        <v>80</v>
      </c>
      <c r="E25" s="39" t="s">
        <v>106</v>
      </c>
      <c r="F25" s="237">
        <v>2463700</v>
      </c>
      <c r="G25" s="34" t="s">
        <v>39</v>
      </c>
      <c r="H25" s="34" t="s">
        <v>40</v>
      </c>
      <c r="I25" s="34">
        <v>10</v>
      </c>
      <c r="J25" s="34">
        <v>291</v>
      </c>
      <c r="K25" s="34">
        <f t="shared" si="0"/>
        <v>2910</v>
      </c>
      <c r="L25" s="38" t="s">
        <v>107</v>
      </c>
      <c r="M25" s="38" t="s">
        <v>42</v>
      </c>
      <c r="N25" s="64" t="s">
        <v>43</v>
      </c>
      <c r="O25" s="34" t="s">
        <v>44</v>
      </c>
      <c r="P25" s="58" t="s">
        <v>45</v>
      </c>
      <c r="Q25" s="34" t="s">
        <v>46</v>
      </c>
      <c r="R25" s="68">
        <v>87063</v>
      </c>
      <c r="S25" s="44">
        <v>111556</v>
      </c>
      <c r="T25" s="69"/>
      <c r="U25" s="44">
        <v>66139</v>
      </c>
      <c r="V25" s="44">
        <v>62332</v>
      </c>
      <c r="W25" s="44"/>
      <c r="X25" s="68">
        <f>R25+U25</f>
        <v>153202</v>
      </c>
      <c r="Y25" s="44">
        <f>S25+V25</f>
        <v>173888</v>
      </c>
      <c r="Z25" s="69"/>
      <c r="AA25" s="44">
        <v>65108</v>
      </c>
      <c r="AB25" s="44">
        <v>61861</v>
      </c>
      <c r="AC25" s="44"/>
      <c r="AD25" s="70">
        <v>85200</v>
      </c>
      <c r="AE25" s="48">
        <v>109934</v>
      </c>
      <c r="AF25" s="71"/>
      <c r="AG25" s="48">
        <v>44089</v>
      </c>
      <c r="AH25" s="48">
        <v>42865</v>
      </c>
      <c r="AI25" s="48"/>
      <c r="AJ25" s="70">
        <f t="shared" si="6"/>
        <v>129289</v>
      </c>
      <c r="AK25" s="48">
        <f t="shared" si="6"/>
        <v>152799</v>
      </c>
      <c r="AL25" s="71">
        <f t="shared" si="6"/>
        <v>0</v>
      </c>
      <c r="AM25" s="48">
        <v>46300</v>
      </c>
      <c r="AN25" s="48">
        <v>44152</v>
      </c>
      <c r="AO25" s="48"/>
      <c r="AP25" s="60">
        <f>AVERAGE(R25,AD25)</f>
        <v>86131.5</v>
      </c>
      <c r="AQ25" s="49">
        <f>AVERAGE(S25,AE25)</f>
        <v>110745</v>
      </c>
      <c r="AR25" s="61"/>
      <c r="AS25" s="49">
        <f>AVERAGE(U25,AG25)</f>
        <v>55114</v>
      </c>
      <c r="AT25" s="49">
        <f>AVERAGE(V25,AH25)</f>
        <v>52598.5</v>
      </c>
      <c r="AU25" s="49"/>
      <c r="AV25" s="337">
        <f>AVERAGE(X25,AJ25)</f>
        <v>141245.5</v>
      </c>
      <c r="AW25" s="53">
        <f>AVERAGE(Y25,AK25)</f>
        <v>163343.5</v>
      </c>
      <c r="AX25" s="338"/>
      <c r="AY25" s="49">
        <f>AVERAGE(AA25,AM25)</f>
        <v>55704</v>
      </c>
      <c r="AZ25" s="49">
        <f>AVERAGE(AB25,AN25)</f>
        <v>53006.5</v>
      </c>
      <c r="BA25" s="49"/>
      <c r="BB25" s="339">
        <f t="shared" si="11"/>
        <v>869571</v>
      </c>
      <c r="BC25" s="340">
        <f t="shared" si="12"/>
        <v>144928.5</v>
      </c>
      <c r="BD25" s="62">
        <f t="shared" si="3"/>
        <v>331526.5</v>
      </c>
      <c r="BE25" s="34">
        <v>1912</v>
      </c>
      <c r="BF25" s="56"/>
    </row>
    <row r="26" spans="1:58" s="56" customFormat="1">
      <c r="A26" s="88" t="s">
        <v>111</v>
      </c>
      <c r="B26" s="75" t="s">
        <v>112</v>
      </c>
      <c r="C26" s="75" t="s">
        <v>79</v>
      </c>
      <c r="D26" s="81" t="s">
        <v>80</v>
      </c>
      <c r="E26" s="80" t="s">
        <v>106</v>
      </c>
      <c r="F26" s="343">
        <v>2463700</v>
      </c>
      <c r="G26" s="75" t="s">
        <v>39</v>
      </c>
      <c r="H26" s="75" t="s">
        <v>40</v>
      </c>
      <c r="I26" s="75">
        <v>6</v>
      </c>
      <c r="J26" s="75"/>
      <c r="K26" s="75">
        <f t="shared" si="0"/>
        <v>0</v>
      </c>
      <c r="L26" s="75"/>
      <c r="M26" s="75" t="s">
        <v>53</v>
      </c>
      <c r="N26" s="98" t="s">
        <v>43</v>
      </c>
      <c r="O26" s="75" t="s">
        <v>49</v>
      </c>
      <c r="P26" s="77" t="s">
        <v>113</v>
      </c>
      <c r="Q26" s="75" t="s">
        <v>114</v>
      </c>
      <c r="R26" s="76"/>
      <c r="S26" s="75"/>
      <c r="T26" s="98"/>
      <c r="U26" s="75"/>
      <c r="V26" s="75"/>
      <c r="W26" s="75"/>
      <c r="X26" s="76"/>
      <c r="Y26" s="75"/>
      <c r="Z26" s="98"/>
      <c r="AA26" s="75"/>
      <c r="AB26" s="75"/>
      <c r="AC26" s="75"/>
      <c r="AD26" s="76"/>
      <c r="AE26" s="75"/>
      <c r="AF26" s="98"/>
      <c r="AG26" s="75"/>
      <c r="AH26" s="75"/>
      <c r="AI26" s="75"/>
      <c r="AJ26" s="76"/>
      <c r="AK26" s="75"/>
      <c r="AL26" s="98"/>
      <c r="AM26" s="75"/>
      <c r="AN26" s="75"/>
      <c r="AO26" s="75"/>
      <c r="AP26" s="76"/>
      <c r="AQ26" s="75"/>
      <c r="AR26" s="98"/>
      <c r="AS26" s="83">
        <v>10100</v>
      </c>
      <c r="AT26" s="83">
        <v>7000</v>
      </c>
      <c r="AU26" s="83">
        <v>7000</v>
      </c>
      <c r="AV26" s="344">
        <f>AP26+AS26</f>
        <v>10100</v>
      </c>
      <c r="AW26" s="85">
        <f>AQ26+AT26</f>
        <v>7000</v>
      </c>
      <c r="AX26" s="348"/>
      <c r="AY26" s="75"/>
      <c r="AZ26" s="75"/>
      <c r="BA26" s="75"/>
      <c r="BB26" s="345">
        <f t="shared" si="11"/>
        <v>57500</v>
      </c>
      <c r="BC26" s="346">
        <f t="shared" si="12"/>
        <v>8214.2857142857138</v>
      </c>
      <c r="BD26" s="87">
        <f t="shared" si="3"/>
        <v>0</v>
      </c>
      <c r="BE26" s="99">
        <v>2005</v>
      </c>
      <c r="BF26" s="73"/>
    </row>
    <row r="27" spans="1:58" s="73" customFormat="1">
      <c r="A27" s="57" t="s">
        <v>116</v>
      </c>
      <c r="B27" s="34" t="s">
        <v>35</v>
      </c>
      <c r="C27" s="34" t="s">
        <v>79</v>
      </c>
      <c r="D27" s="59" t="s">
        <v>80</v>
      </c>
      <c r="E27" s="39" t="s">
        <v>106</v>
      </c>
      <c r="F27" s="237">
        <v>2463700</v>
      </c>
      <c r="G27" s="34" t="s">
        <v>39</v>
      </c>
      <c r="H27" s="34" t="s">
        <v>47</v>
      </c>
      <c r="I27" s="34">
        <v>6</v>
      </c>
      <c r="J27" s="34">
        <v>175</v>
      </c>
      <c r="K27" s="34">
        <f t="shared" si="0"/>
        <v>1050</v>
      </c>
      <c r="L27" s="34"/>
      <c r="M27" s="34" t="s">
        <v>53</v>
      </c>
      <c r="N27" s="64" t="s">
        <v>43</v>
      </c>
      <c r="O27" s="34" t="s">
        <v>54</v>
      </c>
      <c r="P27" s="58" t="s">
        <v>55</v>
      </c>
      <c r="Q27" s="34" t="s">
        <v>51</v>
      </c>
      <c r="R27" s="35"/>
      <c r="S27" s="34"/>
      <c r="T27" s="64"/>
      <c r="U27" s="34"/>
      <c r="V27" s="34"/>
      <c r="W27" s="34"/>
      <c r="X27" s="35"/>
      <c r="Y27" s="34"/>
      <c r="Z27" s="64"/>
      <c r="AA27" s="34"/>
      <c r="AB27" s="34"/>
      <c r="AC27" s="34"/>
      <c r="AD27" s="35"/>
      <c r="AE27" s="34"/>
      <c r="AF27" s="64"/>
      <c r="AG27" s="34"/>
      <c r="AH27" s="34"/>
      <c r="AI27" s="34"/>
      <c r="AJ27" s="35"/>
      <c r="AK27" s="34"/>
      <c r="AL27" s="64"/>
      <c r="AM27" s="34"/>
      <c r="AN27" s="34"/>
      <c r="AO27" s="34"/>
      <c r="AP27" s="35"/>
      <c r="AQ27" s="34"/>
      <c r="AR27" s="64"/>
      <c r="AS27" s="49">
        <f>((115243*4)+117447)/5</f>
        <v>115683.8</v>
      </c>
      <c r="AT27" s="49"/>
      <c r="AU27" s="49"/>
      <c r="AV27" s="337">
        <f>AP27+AS27</f>
        <v>115683.8</v>
      </c>
      <c r="AW27" s="53"/>
      <c r="AX27" s="338"/>
      <c r="AY27" s="34"/>
      <c r="AZ27" s="34"/>
      <c r="BA27" s="34"/>
      <c r="BB27" s="339">
        <f t="shared" si="11"/>
        <v>578419</v>
      </c>
      <c r="BC27" s="340">
        <f t="shared" si="12"/>
        <v>115683.8</v>
      </c>
      <c r="BD27" s="62">
        <f t="shared" si="3"/>
        <v>0</v>
      </c>
      <c r="BE27" s="66">
        <v>2005</v>
      </c>
      <c r="BF27" s="56"/>
    </row>
    <row r="28" spans="1:58" s="56" customFormat="1">
      <c r="A28" s="240" t="s">
        <v>317</v>
      </c>
      <c r="B28" s="241" t="s">
        <v>35</v>
      </c>
      <c r="C28" s="241" t="s">
        <v>79</v>
      </c>
      <c r="D28" s="246" t="s">
        <v>80</v>
      </c>
      <c r="E28" s="247" t="s">
        <v>106</v>
      </c>
      <c r="F28" s="331">
        <v>2463700</v>
      </c>
      <c r="G28" s="241" t="s">
        <v>39</v>
      </c>
      <c r="H28" s="241" t="s">
        <v>47</v>
      </c>
      <c r="I28" s="241">
        <v>6</v>
      </c>
      <c r="J28" s="241">
        <v>160</v>
      </c>
      <c r="K28" s="241">
        <f t="shared" si="0"/>
        <v>960</v>
      </c>
      <c r="L28" s="241"/>
      <c r="M28" s="241" t="s">
        <v>53</v>
      </c>
      <c r="N28" s="262" t="s">
        <v>43</v>
      </c>
      <c r="O28" s="241" t="s">
        <v>54</v>
      </c>
      <c r="P28" s="243" t="s">
        <v>50</v>
      </c>
      <c r="Q28" s="241" t="s">
        <v>51</v>
      </c>
      <c r="R28" s="242"/>
      <c r="S28" s="241"/>
      <c r="T28" s="262"/>
      <c r="U28" s="241"/>
      <c r="V28" s="241"/>
      <c r="W28" s="241"/>
      <c r="X28" s="242"/>
      <c r="Y28" s="241"/>
      <c r="Z28" s="262"/>
      <c r="AA28" s="241"/>
      <c r="AB28" s="241"/>
      <c r="AC28" s="241"/>
      <c r="AD28" s="242"/>
      <c r="AE28" s="241"/>
      <c r="AF28" s="262"/>
      <c r="AG28" s="241"/>
      <c r="AH28" s="241"/>
      <c r="AI28" s="241"/>
      <c r="AJ28" s="242"/>
      <c r="AK28" s="241"/>
      <c r="AL28" s="262"/>
      <c r="AM28" s="241"/>
      <c r="AN28" s="241"/>
      <c r="AO28" s="241"/>
      <c r="AP28" s="242"/>
      <c r="AQ28" s="241"/>
      <c r="AR28" s="262"/>
      <c r="AS28" s="249">
        <f>((115154*4)+115273)/5</f>
        <v>115177.8</v>
      </c>
      <c r="AT28" s="249"/>
      <c r="AU28" s="249"/>
      <c r="AV28" s="332">
        <f>AP28+AS28</f>
        <v>115177.8</v>
      </c>
      <c r="AW28" s="251"/>
      <c r="AX28" s="333"/>
      <c r="AY28" s="241"/>
      <c r="AZ28" s="241"/>
      <c r="BA28" s="241"/>
      <c r="BB28" s="334">
        <f t="shared" si="11"/>
        <v>575889</v>
      </c>
      <c r="BC28" s="335">
        <f t="shared" si="12"/>
        <v>115177.8</v>
      </c>
      <c r="BD28" s="253">
        <f t="shared" si="3"/>
        <v>0</v>
      </c>
      <c r="BE28" s="263">
        <v>2005</v>
      </c>
      <c r="BF28" s="101"/>
    </row>
    <row r="29" spans="1:58" s="56" customFormat="1">
      <c r="A29" s="57" t="s">
        <v>118</v>
      </c>
      <c r="B29" s="34" t="s">
        <v>35</v>
      </c>
      <c r="C29" s="34" t="s">
        <v>79</v>
      </c>
      <c r="D29" s="59" t="s">
        <v>80</v>
      </c>
      <c r="E29" s="39" t="s">
        <v>119</v>
      </c>
      <c r="F29" s="237">
        <v>363100</v>
      </c>
      <c r="G29" s="34" t="s">
        <v>68</v>
      </c>
      <c r="H29" s="34" t="s">
        <v>40</v>
      </c>
      <c r="I29" s="34">
        <v>10</v>
      </c>
      <c r="J29" s="34">
        <v>305</v>
      </c>
      <c r="K29" s="34">
        <f t="shared" si="0"/>
        <v>3050</v>
      </c>
      <c r="L29" s="38" t="s">
        <v>120</v>
      </c>
      <c r="M29" s="38" t="s">
        <v>42</v>
      </c>
      <c r="N29" s="64" t="s">
        <v>43</v>
      </c>
      <c r="O29" s="34" t="s">
        <v>121</v>
      </c>
      <c r="P29" s="58" t="s">
        <v>88</v>
      </c>
      <c r="Q29" s="34" t="s">
        <v>46</v>
      </c>
      <c r="R29" s="68">
        <v>49204</v>
      </c>
      <c r="S29" s="44">
        <v>49768</v>
      </c>
      <c r="T29" s="69">
        <v>49797</v>
      </c>
      <c r="U29" s="44">
        <v>2813</v>
      </c>
      <c r="V29" s="44">
        <v>1817</v>
      </c>
      <c r="W29" s="44">
        <v>1882</v>
      </c>
      <c r="X29" s="68">
        <f>R29+U29</f>
        <v>52017</v>
      </c>
      <c r="Y29" s="44">
        <f>S29+V29</f>
        <v>51585</v>
      </c>
      <c r="Z29" s="69">
        <f>T29+W29</f>
        <v>51679</v>
      </c>
      <c r="AA29" s="44">
        <v>1867</v>
      </c>
      <c r="AB29" s="44">
        <v>1902</v>
      </c>
      <c r="AC29" s="44">
        <v>1922</v>
      </c>
      <c r="AD29" s="70">
        <v>48271</v>
      </c>
      <c r="AE29" s="48">
        <v>48555</v>
      </c>
      <c r="AF29" s="71">
        <v>48668</v>
      </c>
      <c r="AG29" s="48">
        <v>10016</v>
      </c>
      <c r="AH29" s="48">
        <v>9438</v>
      </c>
      <c r="AI29" s="48">
        <v>9461</v>
      </c>
      <c r="AJ29" s="70">
        <f t="shared" ref="AJ29:AL32" si="13">AD29+AG29</f>
        <v>58287</v>
      </c>
      <c r="AK29" s="48">
        <f t="shared" si="13"/>
        <v>57993</v>
      </c>
      <c r="AL29" s="71">
        <f t="shared" si="13"/>
        <v>58129</v>
      </c>
      <c r="AM29" s="48">
        <v>9930</v>
      </c>
      <c r="AN29" s="48">
        <v>9913</v>
      </c>
      <c r="AO29" s="48">
        <v>9915</v>
      </c>
      <c r="AP29" s="60">
        <f t="shared" ref="AP29:BA29" si="14">AVERAGE(R29,AD29)</f>
        <v>48737.5</v>
      </c>
      <c r="AQ29" s="49">
        <f t="shared" si="14"/>
        <v>49161.5</v>
      </c>
      <c r="AR29" s="61">
        <f t="shared" si="14"/>
        <v>49232.5</v>
      </c>
      <c r="AS29" s="49">
        <f t="shared" si="14"/>
        <v>6414.5</v>
      </c>
      <c r="AT29" s="49">
        <f t="shared" si="14"/>
        <v>5627.5</v>
      </c>
      <c r="AU29" s="49">
        <f t="shared" si="14"/>
        <v>5671.5</v>
      </c>
      <c r="AV29" s="337">
        <f t="shared" si="14"/>
        <v>55152</v>
      </c>
      <c r="AW29" s="53">
        <f t="shared" si="14"/>
        <v>54789</v>
      </c>
      <c r="AX29" s="338">
        <f t="shared" si="14"/>
        <v>54904</v>
      </c>
      <c r="AY29" s="49">
        <f t="shared" si="14"/>
        <v>5898.5</v>
      </c>
      <c r="AZ29" s="49">
        <f t="shared" si="14"/>
        <v>5907.5</v>
      </c>
      <c r="BA29" s="49">
        <f t="shared" si="14"/>
        <v>5918.5</v>
      </c>
      <c r="BB29" s="339">
        <f t="shared" si="11"/>
        <v>330301</v>
      </c>
      <c r="BC29" s="340">
        <f t="shared" si="12"/>
        <v>55050.166666666664</v>
      </c>
      <c r="BD29" s="62">
        <f t="shared" si="3"/>
        <v>35420</v>
      </c>
      <c r="BE29" s="34">
        <v>1884</v>
      </c>
    </row>
    <row r="30" spans="1:58" s="56" customFormat="1">
      <c r="A30" s="57" t="s">
        <v>122</v>
      </c>
      <c r="B30" s="34" t="s">
        <v>35</v>
      </c>
      <c r="C30" s="34" t="s">
        <v>36</v>
      </c>
      <c r="D30" s="59" t="s">
        <v>123</v>
      </c>
      <c r="E30" s="39" t="s">
        <v>124</v>
      </c>
      <c r="F30" s="237">
        <v>53229</v>
      </c>
      <c r="G30" s="34" t="s">
        <v>63</v>
      </c>
      <c r="H30" s="34" t="s">
        <v>40</v>
      </c>
      <c r="I30" s="34">
        <v>6</v>
      </c>
      <c r="J30" s="34">
        <v>300</v>
      </c>
      <c r="K30" s="34">
        <f t="shared" si="0"/>
        <v>1800</v>
      </c>
      <c r="L30" s="38"/>
      <c r="M30" s="38" t="s">
        <v>42</v>
      </c>
      <c r="N30" s="64" t="s">
        <v>64</v>
      </c>
      <c r="O30" s="34" t="s">
        <v>49</v>
      </c>
      <c r="P30" s="58" t="s">
        <v>125</v>
      </c>
      <c r="Q30" s="34" t="s">
        <v>46</v>
      </c>
      <c r="R30" s="68">
        <v>8830</v>
      </c>
      <c r="S30" s="44">
        <v>10768</v>
      </c>
      <c r="T30" s="69"/>
      <c r="U30" s="44">
        <v>2834</v>
      </c>
      <c r="V30" s="44">
        <v>1542</v>
      </c>
      <c r="W30" s="44"/>
      <c r="X30" s="68">
        <f>R30+U30</f>
        <v>11664</v>
      </c>
      <c r="Y30" s="44">
        <f>S30+V30</f>
        <v>12310</v>
      </c>
      <c r="Z30" s="69"/>
      <c r="AA30" s="44">
        <v>309</v>
      </c>
      <c r="AB30" s="44">
        <v>310</v>
      </c>
      <c r="AC30" s="44"/>
      <c r="AD30" s="70">
        <v>8709</v>
      </c>
      <c r="AE30" s="48">
        <v>10717</v>
      </c>
      <c r="AF30" s="71"/>
      <c r="AG30" s="48">
        <v>2123</v>
      </c>
      <c r="AH30" s="48">
        <v>1312</v>
      </c>
      <c r="AI30" s="48"/>
      <c r="AJ30" s="70">
        <f t="shared" si="13"/>
        <v>10832</v>
      </c>
      <c r="AK30" s="48">
        <f t="shared" si="13"/>
        <v>12029</v>
      </c>
      <c r="AL30" s="71">
        <f t="shared" si="13"/>
        <v>0</v>
      </c>
      <c r="AM30" s="48">
        <v>317</v>
      </c>
      <c r="AN30" s="48">
        <v>317</v>
      </c>
      <c r="AO30" s="48"/>
      <c r="AP30" s="60">
        <f>AVERAGE(R30,AD30)</f>
        <v>8769.5</v>
      </c>
      <c r="AQ30" s="49">
        <f>AVERAGE(S30,AE30)</f>
        <v>10742.5</v>
      </c>
      <c r="AR30" s="61"/>
      <c r="AS30" s="49">
        <f>AVERAGE(U30,AG30)</f>
        <v>2478.5</v>
      </c>
      <c r="AT30" s="49">
        <f>AVERAGE(V30,AH30)</f>
        <v>1427</v>
      </c>
      <c r="AU30" s="49"/>
      <c r="AV30" s="337">
        <f>AVERAGE(X30,AJ30)</f>
        <v>11248</v>
      </c>
      <c r="AW30" s="53">
        <f>AVERAGE(Y30,AK30)</f>
        <v>12169.5</v>
      </c>
      <c r="AX30" s="338"/>
      <c r="AY30" s="49">
        <f>AVERAGE(AA30,AM30)</f>
        <v>313</v>
      </c>
      <c r="AZ30" s="49">
        <f>AVERAGE(AB30,AN30)</f>
        <v>313.5</v>
      </c>
      <c r="BA30" s="49"/>
      <c r="BB30" s="339">
        <f t="shared" si="11"/>
        <v>68409.5</v>
      </c>
      <c r="BC30" s="340">
        <f t="shared" si="12"/>
        <v>9772.7857142857138</v>
      </c>
      <c r="BD30" s="62">
        <f t="shared" si="3"/>
        <v>1878.5</v>
      </c>
      <c r="BE30" s="34">
        <v>1882</v>
      </c>
    </row>
    <row r="31" spans="1:58" s="56" customFormat="1">
      <c r="A31" s="57" t="s">
        <v>128</v>
      </c>
      <c r="B31" s="34" t="s">
        <v>35</v>
      </c>
      <c r="C31" s="34" t="s">
        <v>36</v>
      </c>
      <c r="D31" s="59" t="s">
        <v>123</v>
      </c>
      <c r="E31" s="39" t="s">
        <v>126</v>
      </c>
      <c r="F31" s="237">
        <v>778400</v>
      </c>
      <c r="G31" s="34" t="s">
        <v>127</v>
      </c>
      <c r="H31" s="34" t="s">
        <v>40</v>
      </c>
      <c r="I31" s="34">
        <v>10</v>
      </c>
      <c r="J31" s="34">
        <v>301</v>
      </c>
      <c r="K31" s="34">
        <f t="shared" si="0"/>
        <v>3010</v>
      </c>
      <c r="L31" s="38"/>
      <c r="M31" s="38" t="s">
        <v>42</v>
      </c>
      <c r="N31" s="64" t="s">
        <v>43</v>
      </c>
      <c r="O31" s="34" t="s">
        <v>44</v>
      </c>
      <c r="P31" s="58" t="s">
        <v>125</v>
      </c>
      <c r="Q31" s="34" t="s">
        <v>46</v>
      </c>
      <c r="R31" s="68">
        <v>72741</v>
      </c>
      <c r="S31" s="44">
        <v>102189</v>
      </c>
      <c r="T31" s="69"/>
      <c r="U31" s="44">
        <v>38597</v>
      </c>
      <c r="V31" s="44">
        <v>37853</v>
      </c>
      <c r="W31" s="44"/>
      <c r="X31" s="68">
        <f>R31+U31</f>
        <v>111338</v>
      </c>
      <c r="Y31" s="44">
        <f>S31+V31</f>
        <v>140042</v>
      </c>
      <c r="Z31" s="69"/>
      <c r="AA31" s="44">
        <v>33701</v>
      </c>
      <c r="AB31" s="44">
        <v>33652</v>
      </c>
      <c r="AC31" s="44"/>
      <c r="AD31" s="70">
        <v>70612</v>
      </c>
      <c r="AE31" s="48">
        <v>100574</v>
      </c>
      <c r="AF31" s="71"/>
      <c r="AG31" s="48">
        <v>27867</v>
      </c>
      <c r="AH31" s="48">
        <v>37160</v>
      </c>
      <c r="AI31" s="48"/>
      <c r="AJ31" s="70">
        <f t="shared" si="13"/>
        <v>98479</v>
      </c>
      <c r="AK31" s="48">
        <f t="shared" si="13"/>
        <v>137734</v>
      </c>
      <c r="AL31" s="71">
        <f t="shared" si="13"/>
        <v>0</v>
      </c>
      <c r="AM31" s="48">
        <f>21464+636</f>
        <v>22100</v>
      </c>
      <c r="AN31" s="48">
        <f>31992+488</f>
        <v>32480</v>
      </c>
      <c r="AO31" s="48"/>
      <c r="AP31" s="60">
        <f>AVERAGE(R31,AD31)</f>
        <v>71676.5</v>
      </c>
      <c r="AQ31" s="49">
        <f>AVERAGE(S31,AE31)</f>
        <v>101381.5</v>
      </c>
      <c r="AR31" s="61"/>
      <c r="AS31" s="49">
        <f>AVERAGE(U31,AG31)</f>
        <v>33232</v>
      </c>
      <c r="AT31" s="49">
        <f>AVERAGE(V31,AH31)</f>
        <v>37506.5</v>
      </c>
      <c r="AU31" s="49"/>
      <c r="AV31" s="337">
        <f>AVERAGE(X31,AJ31)</f>
        <v>104908.5</v>
      </c>
      <c r="AW31" s="53">
        <f>AVERAGE(Y31,AK31)</f>
        <v>138888</v>
      </c>
      <c r="AX31" s="338"/>
      <c r="AY31" s="49">
        <f>AVERAGE(AA31,AM31)</f>
        <v>27900.5</v>
      </c>
      <c r="AZ31" s="49">
        <f>AVERAGE(AB31,AN31)</f>
        <v>33066</v>
      </c>
      <c r="BA31" s="49"/>
      <c r="BB31" s="339">
        <f t="shared" si="11"/>
        <v>663430.5</v>
      </c>
      <c r="BC31" s="340">
        <f t="shared" si="12"/>
        <v>110571.75</v>
      </c>
      <c r="BD31" s="62">
        <f t="shared" si="3"/>
        <v>172568.5</v>
      </c>
      <c r="BE31" s="34">
        <v>1872</v>
      </c>
    </row>
    <row r="32" spans="1:58" s="56" customFormat="1">
      <c r="A32" s="240" t="s">
        <v>318</v>
      </c>
      <c r="B32" s="241" t="s">
        <v>35</v>
      </c>
      <c r="C32" s="241" t="s">
        <v>36</v>
      </c>
      <c r="D32" s="246" t="s">
        <v>123</v>
      </c>
      <c r="E32" s="247" t="s">
        <v>126</v>
      </c>
      <c r="F32" s="331">
        <v>778400</v>
      </c>
      <c r="G32" s="241" t="s">
        <v>127</v>
      </c>
      <c r="H32" s="241" t="s">
        <v>47</v>
      </c>
      <c r="I32" s="241">
        <v>10</v>
      </c>
      <c r="J32" s="241">
        <v>160</v>
      </c>
      <c r="K32" s="241">
        <f t="shared" si="0"/>
        <v>1600</v>
      </c>
      <c r="L32" s="245" t="s">
        <v>48</v>
      </c>
      <c r="M32" s="245" t="s">
        <v>42</v>
      </c>
      <c r="N32" s="262" t="s">
        <v>43</v>
      </c>
      <c r="O32" s="241" t="s">
        <v>49</v>
      </c>
      <c r="P32" s="243" t="s">
        <v>50</v>
      </c>
      <c r="Q32" s="241" t="s">
        <v>51</v>
      </c>
      <c r="R32" s="248"/>
      <c r="S32" s="249"/>
      <c r="T32" s="250"/>
      <c r="U32" s="249"/>
      <c r="V32" s="249"/>
      <c r="W32" s="249"/>
      <c r="X32" s="248"/>
      <c r="Y32" s="249"/>
      <c r="Z32" s="250"/>
      <c r="AA32" s="249"/>
      <c r="AB32" s="249"/>
      <c r="AC32" s="249"/>
      <c r="AD32" s="248"/>
      <c r="AE32" s="249"/>
      <c r="AF32" s="250"/>
      <c r="AG32" s="249"/>
      <c r="AH32" s="249"/>
      <c r="AI32" s="249"/>
      <c r="AJ32" s="248">
        <f t="shared" si="13"/>
        <v>0</v>
      </c>
      <c r="AK32" s="249">
        <f t="shared" si="13"/>
        <v>0</v>
      </c>
      <c r="AL32" s="250">
        <f t="shared" si="13"/>
        <v>0</v>
      </c>
      <c r="AM32" s="249"/>
      <c r="AN32" s="249"/>
      <c r="AO32" s="249"/>
      <c r="AP32" s="248">
        <v>15290</v>
      </c>
      <c r="AQ32" s="249">
        <v>16537</v>
      </c>
      <c r="AR32" s="250">
        <v>17728</v>
      </c>
      <c r="AS32" s="249">
        <v>40921</v>
      </c>
      <c r="AT32" s="249">
        <v>30593</v>
      </c>
      <c r="AU32" s="249">
        <v>29963</v>
      </c>
      <c r="AV32" s="332">
        <f>AP32+AS32</f>
        <v>56211</v>
      </c>
      <c r="AW32" s="251">
        <f>AQ32+AT32</f>
        <v>47130</v>
      </c>
      <c r="AX32" s="333">
        <f>AR32+AU32</f>
        <v>47691</v>
      </c>
      <c r="AY32" s="249">
        <f>696+12653+15261</f>
        <v>28610</v>
      </c>
      <c r="AZ32" s="249">
        <f>668+12394+15060</f>
        <v>28122</v>
      </c>
      <c r="BA32" s="249">
        <f>669+12348+14966</f>
        <v>27983</v>
      </c>
      <c r="BB32" s="334">
        <f t="shared" si="11"/>
        <v>375876</v>
      </c>
      <c r="BC32" s="335">
        <f t="shared" si="12"/>
        <v>53696.571428571428</v>
      </c>
      <c r="BD32" s="253">
        <f t="shared" si="3"/>
        <v>199155</v>
      </c>
      <c r="BE32" s="241">
        <v>1980</v>
      </c>
      <c r="BF32" s="101"/>
    </row>
    <row r="33" spans="1:58" s="56" customFormat="1">
      <c r="A33" s="57" t="s">
        <v>129</v>
      </c>
      <c r="B33" s="34" t="s">
        <v>35</v>
      </c>
      <c r="C33" s="34" t="s">
        <v>36</v>
      </c>
      <c r="D33" s="59" t="s">
        <v>123</v>
      </c>
      <c r="E33" s="39" t="s">
        <v>126</v>
      </c>
      <c r="F33" s="237">
        <v>778400</v>
      </c>
      <c r="G33" s="34" t="s">
        <v>127</v>
      </c>
      <c r="H33" s="34" t="s">
        <v>47</v>
      </c>
      <c r="I33" s="34">
        <v>6</v>
      </c>
      <c r="J33" s="34">
        <v>175</v>
      </c>
      <c r="K33" s="34">
        <f t="shared" si="0"/>
        <v>1050</v>
      </c>
      <c r="L33" s="34"/>
      <c r="M33" s="34" t="s">
        <v>53</v>
      </c>
      <c r="N33" s="64" t="s">
        <v>43</v>
      </c>
      <c r="O33" s="34" t="s">
        <v>54</v>
      </c>
      <c r="P33" s="58" t="s">
        <v>55</v>
      </c>
      <c r="Q33" s="34" t="s">
        <v>51</v>
      </c>
      <c r="R33" s="35"/>
      <c r="S33" s="34"/>
      <c r="T33" s="64"/>
      <c r="U33" s="34"/>
      <c r="V33" s="34"/>
      <c r="W33" s="34"/>
      <c r="X33" s="35"/>
      <c r="Y33" s="34"/>
      <c r="Z33" s="64"/>
      <c r="AA33" s="34"/>
      <c r="AB33" s="34"/>
      <c r="AC33" s="34"/>
      <c r="AD33" s="35"/>
      <c r="AE33" s="34"/>
      <c r="AF33" s="64"/>
      <c r="AG33" s="34"/>
      <c r="AH33" s="34"/>
      <c r="AI33" s="34"/>
      <c r="AJ33" s="35"/>
      <c r="AK33" s="34"/>
      <c r="AL33" s="64"/>
      <c r="AM33" s="34"/>
      <c r="AN33" s="34"/>
      <c r="AO33" s="34"/>
      <c r="AP33" s="35"/>
      <c r="AQ33" s="34"/>
      <c r="AR33" s="64"/>
      <c r="AS33" s="49">
        <f>((36804*4)+40342)/5</f>
        <v>37511.599999999999</v>
      </c>
      <c r="AT33" s="49"/>
      <c r="AU33" s="49"/>
      <c r="AV33" s="337">
        <f t="shared" ref="AV33:AW39" si="15">AP33+AS33</f>
        <v>37511.599999999999</v>
      </c>
      <c r="AW33" s="53"/>
      <c r="AX33" s="338"/>
      <c r="AY33" s="34"/>
      <c r="AZ33" s="34"/>
      <c r="BA33" s="34"/>
      <c r="BB33" s="339">
        <f t="shared" si="11"/>
        <v>187558</v>
      </c>
      <c r="BC33" s="340">
        <f t="shared" si="12"/>
        <v>37511.599999999999</v>
      </c>
      <c r="BD33" s="62">
        <f t="shared" si="3"/>
        <v>0</v>
      </c>
      <c r="BE33" s="66">
        <v>2011</v>
      </c>
    </row>
    <row r="34" spans="1:58" s="56" customFormat="1">
      <c r="A34" s="88" t="s">
        <v>131</v>
      </c>
      <c r="B34" s="75" t="s">
        <v>132</v>
      </c>
      <c r="C34" s="75" t="s">
        <v>133</v>
      </c>
      <c r="D34" s="81" t="s">
        <v>134</v>
      </c>
      <c r="E34" s="80" t="s">
        <v>135</v>
      </c>
      <c r="F34" s="343">
        <v>4276</v>
      </c>
      <c r="G34" s="75" t="s">
        <v>82</v>
      </c>
      <c r="H34" s="75" t="s">
        <v>47</v>
      </c>
      <c r="I34" s="75">
        <v>12</v>
      </c>
      <c r="J34" s="75">
        <v>160</v>
      </c>
      <c r="K34" s="75">
        <f t="shared" si="0"/>
        <v>1920</v>
      </c>
      <c r="L34" s="79"/>
      <c r="M34" s="79" t="s">
        <v>42</v>
      </c>
      <c r="N34" s="98" t="s">
        <v>43</v>
      </c>
      <c r="O34" s="75" t="s">
        <v>44</v>
      </c>
      <c r="P34" s="77" t="s">
        <v>113</v>
      </c>
      <c r="Q34" s="75" t="s">
        <v>114</v>
      </c>
      <c r="R34" s="82"/>
      <c r="S34" s="83"/>
      <c r="T34" s="84"/>
      <c r="U34" s="83"/>
      <c r="V34" s="83"/>
      <c r="W34" s="83"/>
      <c r="X34" s="82"/>
      <c r="Y34" s="83"/>
      <c r="Z34" s="84"/>
      <c r="AA34" s="83"/>
      <c r="AB34" s="83"/>
      <c r="AC34" s="83"/>
      <c r="AD34" s="82"/>
      <c r="AE34" s="83"/>
      <c r="AF34" s="84"/>
      <c r="AG34" s="83"/>
      <c r="AH34" s="83"/>
      <c r="AI34" s="83"/>
      <c r="AJ34" s="82">
        <f>AD34+AG34</f>
        <v>0</v>
      </c>
      <c r="AK34" s="83">
        <f>AE34+AH34</f>
        <v>0</v>
      </c>
      <c r="AL34" s="84">
        <f>AF34+AI34</f>
        <v>0</v>
      </c>
      <c r="AM34" s="83"/>
      <c r="AN34" s="83"/>
      <c r="AO34" s="83"/>
      <c r="AP34" s="82">
        <v>18102</v>
      </c>
      <c r="AQ34" s="83">
        <v>18102</v>
      </c>
      <c r="AR34" s="84"/>
      <c r="AS34" s="83"/>
      <c r="AT34" s="83"/>
      <c r="AU34" s="83"/>
      <c r="AV34" s="344">
        <f t="shared" si="15"/>
        <v>18102</v>
      </c>
      <c r="AW34" s="85">
        <f t="shared" si="15"/>
        <v>18102</v>
      </c>
      <c r="AX34" s="348"/>
      <c r="AY34" s="83"/>
      <c r="AZ34" s="83"/>
      <c r="BA34" s="83"/>
      <c r="BB34" s="345">
        <f t="shared" si="11"/>
        <v>108612</v>
      </c>
      <c r="BC34" s="346">
        <f t="shared" si="12"/>
        <v>18102</v>
      </c>
      <c r="BD34" s="87">
        <f t="shared" si="3"/>
        <v>0</v>
      </c>
      <c r="BE34" s="75">
        <v>1984</v>
      </c>
      <c r="BF34" s="73"/>
    </row>
    <row r="35" spans="1:58" s="73" customFormat="1">
      <c r="A35" s="57" t="s">
        <v>136</v>
      </c>
      <c r="B35" s="66" t="s">
        <v>35</v>
      </c>
      <c r="C35" s="66" t="s">
        <v>133</v>
      </c>
      <c r="D35" s="106" t="s">
        <v>134</v>
      </c>
      <c r="E35" s="102" t="s">
        <v>137</v>
      </c>
      <c r="F35" s="355">
        <v>94268</v>
      </c>
      <c r="G35" s="66" t="s">
        <v>63</v>
      </c>
      <c r="H35" s="102" t="s">
        <v>40</v>
      </c>
      <c r="I35" s="66">
        <v>10</v>
      </c>
      <c r="J35" s="66">
        <v>294</v>
      </c>
      <c r="K35" s="66">
        <f t="shared" si="0"/>
        <v>2940</v>
      </c>
      <c r="L35" s="66" t="s">
        <v>138</v>
      </c>
      <c r="M35" s="102" t="s">
        <v>42</v>
      </c>
      <c r="N35" s="356" t="s">
        <v>43</v>
      </c>
      <c r="O35" s="66" t="s">
        <v>44</v>
      </c>
      <c r="P35" s="57" t="s">
        <v>139</v>
      </c>
      <c r="Q35" s="102" t="s">
        <v>84</v>
      </c>
      <c r="R35" s="60"/>
      <c r="S35" s="49"/>
      <c r="T35" s="61"/>
      <c r="U35" s="49"/>
      <c r="V35" s="49"/>
      <c r="W35" s="49"/>
      <c r="X35" s="60"/>
      <c r="Y35" s="49"/>
      <c r="Z35" s="61"/>
      <c r="AA35" s="49"/>
      <c r="AB35" s="49"/>
      <c r="AC35" s="49"/>
      <c r="AD35" s="60"/>
      <c r="AE35" s="49"/>
      <c r="AF35" s="61"/>
      <c r="AG35" s="49"/>
      <c r="AH35" s="49"/>
      <c r="AI35" s="49"/>
      <c r="AJ35" s="60"/>
      <c r="AK35" s="49"/>
      <c r="AL35" s="61"/>
      <c r="AM35" s="49"/>
      <c r="AN35" s="49"/>
      <c r="AO35" s="49"/>
      <c r="AP35" s="60">
        <v>16050</v>
      </c>
      <c r="AQ35" s="49">
        <v>16050</v>
      </c>
      <c r="AR35" s="61"/>
      <c r="AS35" s="49">
        <v>52</v>
      </c>
      <c r="AT35" s="49">
        <v>52</v>
      </c>
      <c r="AU35" s="49"/>
      <c r="AV35" s="337">
        <f t="shared" si="15"/>
        <v>16102</v>
      </c>
      <c r="AW35" s="53">
        <f t="shared" si="15"/>
        <v>16102</v>
      </c>
      <c r="AX35" s="338"/>
      <c r="AY35" s="49">
        <v>110</v>
      </c>
      <c r="AZ35" s="49">
        <v>110</v>
      </c>
      <c r="BA35" s="49"/>
      <c r="BB35" s="339">
        <f t="shared" si="11"/>
        <v>96612</v>
      </c>
      <c r="BC35" s="340">
        <f t="shared" si="12"/>
        <v>16102</v>
      </c>
      <c r="BD35" s="62">
        <f t="shared" si="3"/>
        <v>660</v>
      </c>
      <c r="BE35" s="34">
        <v>1880</v>
      </c>
      <c r="BF35" s="56"/>
    </row>
    <row r="36" spans="1:58" s="63" customFormat="1">
      <c r="A36" s="57" t="s">
        <v>140</v>
      </c>
      <c r="B36" s="66" t="s">
        <v>35</v>
      </c>
      <c r="C36" s="66" t="s">
        <v>133</v>
      </c>
      <c r="D36" s="106" t="s">
        <v>134</v>
      </c>
      <c r="E36" s="102" t="s">
        <v>141</v>
      </c>
      <c r="F36" s="355">
        <v>143000</v>
      </c>
      <c r="G36" s="66" t="s">
        <v>68</v>
      </c>
      <c r="H36" s="102" t="s">
        <v>40</v>
      </c>
      <c r="I36" s="66">
        <v>10</v>
      </c>
      <c r="J36" s="66">
        <v>294</v>
      </c>
      <c r="K36" s="66">
        <f t="shared" si="0"/>
        <v>2940</v>
      </c>
      <c r="L36" s="66" t="s">
        <v>138</v>
      </c>
      <c r="M36" s="102" t="s">
        <v>42</v>
      </c>
      <c r="N36" s="356" t="s">
        <v>43</v>
      </c>
      <c r="O36" s="66" t="s">
        <v>44</v>
      </c>
      <c r="P36" s="57" t="s">
        <v>139</v>
      </c>
      <c r="Q36" s="102" t="s">
        <v>84</v>
      </c>
      <c r="R36" s="60"/>
      <c r="S36" s="49"/>
      <c r="T36" s="61"/>
      <c r="U36" s="49"/>
      <c r="V36" s="49"/>
      <c r="W36" s="49"/>
      <c r="X36" s="60"/>
      <c r="Y36" s="49"/>
      <c r="Z36" s="61"/>
      <c r="AA36" s="49"/>
      <c r="AB36" s="49"/>
      <c r="AC36" s="49"/>
      <c r="AD36" s="60"/>
      <c r="AE36" s="49"/>
      <c r="AF36" s="61"/>
      <c r="AG36" s="49"/>
      <c r="AH36" s="49"/>
      <c r="AI36" s="49"/>
      <c r="AJ36" s="60"/>
      <c r="AK36" s="49"/>
      <c r="AL36" s="61"/>
      <c r="AM36" s="49"/>
      <c r="AN36" s="49"/>
      <c r="AO36" s="49"/>
      <c r="AP36" s="60">
        <v>28812</v>
      </c>
      <c r="AQ36" s="49">
        <v>28812</v>
      </c>
      <c r="AR36" s="61"/>
      <c r="AS36" s="49">
        <v>76</v>
      </c>
      <c r="AT36" s="49">
        <v>76</v>
      </c>
      <c r="AU36" s="49"/>
      <c r="AV36" s="337">
        <f t="shared" si="15"/>
        <v>28888</v>
      </c>
      <c r="AW36" s="53">
        <f t="shared" si="15"/>
        <v>28888</v>
      </c>
      <c r="AX36" s="338"/>
      <c r="AY36" s="49">
        <v>164</v>
      </c>
      <c r="AZ36" s="49">
        <v>164</v>
      </c>
      <c r="BA36" s="49"/>
      <c r="BB36" s="339">
        <f t="shared" si="11"/>
        <v>173328</v>
      </c>
      <c r="BC36" s="340">
        <f t="shared" si="12"/>
        <v>28888</v>
      </c>
      <c r="BD36" s="62">
        <f t="shared" si="3"/>
        <v>984</v>
      </c>
      <c r="BE36" s="34">
        <v>1868</v>
      </c>
      <c r="BF36" s="56"/>
    </row>
    <row r="37" spans="1:58" s="56" customFormat="1">
      <c r="A37" s="57" t="s">
        <v>142</v>
      </c>
      <c r="B37" s="66" t="s">
        <v>35</v>
      </c>
      <c r="C37" s="66" t="s">
        <v>133</v>
      </c>
      <c r="D37" s="106" t="s">
        <v>134</v>
      </c>
      <c r="E37" s="102" t="s">
        <v>143</v>
      </c>
      <c r="F37" s="355">
        <v>128900</v>
      </c>
      <c r="G37" s="66" t="s">
        <v>68</v>
      </c>
      <c r="H37" s="102" t="s">
        <v>40</v>
      </c>
      <c r="I37" s="66">
        <v>10</v>
      </c>
      <c r="J37" s="66">
        <v>294</v>
      </c>
      <c r="K37" s="66">
        <f t="shared" si="0"/>
        <v>2940</v>
      </c>
      <c r="L37" s="66" t="s">
        <v>138</v>
      </c>
      <c r="M37" s="102" t="s">
        <v>42</v>
      </c>
      <c r="N37" s="356" t="s">
        <v>43</v>
      </c>
      <c r="O37" s="66" t="s">
        <v>44</v>
      </c>
      <c r="P37" s="57" t="s">
        <v>139</v>
      </c>
      <c r="Q37" s="102" t="s">
        <v>84</v>
      </c>
      <c r="R37" s="60"/>
      <c r="S37" s="49"/>
      <c r="T37" s="61"/>
      <c r="U37" s="49"/>
      <c r="V37" s="49"/>
      <c r="W37" s="49"/>
      <c r="X37" s="60"/>
      <c r="Y37" s="49"/>
      <c r="Z37" s="61"/>
      <c r="AA37" s="49"/>
      <c r="AB37" s="49"/>
      <c r="AC37" s="49"/>
      <c r="AD37" s="60"/>
      <c r="AE37" s="49"/>
      <c r="AF37" s="61"/>
      <c r="AG37" s="49"/>
      <c r="AH37" s="49"/>
      <c r="AI37" s="49"/>
      <c r="AJ37" s="60"/>
      <c r="AK37" s="49"/>
      <c r="AL37" s="61"/>
      <c r="AM37" s="49"/>
      <c r="AN37" s="49"/>
      <c r="AO37" s="49"/>
      <c r="AP37" s="60">
        <v>26863</v>
      </c>
      <c r="AQ37" s="49">
        <v>26863</v>
      </c>
      <c r="AR37" s="61"/>
      <c r="AS37" s="49">
        <v>94</v>
      </c>
      <c r="AT37" s="49">
        <v>94</v>
      </c>
      <c r="AU37" s="49"/>
      <c r="AV37" s="337">
        <f t="shared" si="15"/>
        <v>26957</v>
      </c>
      <c r="AW37" s="53">
        <f t="shared" si="15"/>
        <v>26957</v>
      </c>
      <c r="AX37" s="338"/>
      <c r="AY37" s="49">
        <v>15</v>
      </c>
      <c r="AZ37" s="49">
        <v>15</v>
      </c>
      <c r="BA37" s="49"/>
      <c r="BB37" s="339">
        <f t="shared" si="11"/>
        <v>161742</v>
      </c>
      <c r="BC37" s="340">
        <f t="shared" si="12"/>
        <v>26957</v>
      </c>
      <c r="BD37" s="62">
        <f t="shared" si="3"/>
        <v>90</v>
      </c>
      <c r="BE37" s="34">
        <v>1862</v>
      </c>
    </row>
    <row r="38" spans="1:58" s="56" customFormat="1">
      <c r="A38" s="88" t="s">
        <v>144</v>
      </c>
      <c r="B38" s="75" t="s">
        <v>35</v>
      </c>
      <c r="C38" s="75" t="s">
        <v>133</v>
      </c>
      <c r="D38" s="81" t="s">
        <v>145</v>
      </c>
      <c r="E38" s="80" t="s">
        <v>146</v>
      </c>
      <c r="F38" s="343">
        <v>27202</v>
      </c>
      <c r="G38" s="75" t="s">
        <v>82</v>
      </c>
      <c r="H38" s="75" t="s">
        <v>40</v>
      </c>
      <c r="I38" s="75">
        <v>10</v>
      </c>
      <c r="J38" s="75">
        <v>301</v>
      </c>
      <c r="K38" s="75">
        <f t="shared" si="0"/>
        <v>3010</v>
      </c>
      <c r="L38" s="79" t="s">
        <v>303</v>
      </c>
      <c r="M38" s="38" t="s">
        <v>42</v>
      </c>
      <c r="N38" s="98" t="s">
        <v>43</v>
      </c>
      <c r="O38" s="75" t="s">
        <v>44</v>
      </c>
      <c r="P38" s="77" t="s">
        <v>147</v>
      </c>
      <c r="Q38" s="75" t="s">
        <v>51</v>
      </c>
      <c r="R38" s="82"/>
      <c r="S38" s="83"/>
      <c r="T38" s="84"/>
      <c r="U38" s="83"/>
      <c r="V38" s="83"/>
      <c r="W38" s="83"/>
      <c r="X38" s="82"/>
      <c r="Y38" s="83"/>
      <c r="Z38" s="84"/>
      <c r="AA38" s="83"/>
      <c r="AB38" s="83"/>
      <c r="AC38" s="83"/>
      <c r="AD38" s="82"/>
      <c r="AE38" s="83"/>
      <c r="AF38" s="84"/>
      <c r="AG38" s="83"/>
      <c r="AH38" s="83"/>
      <c r="AI38" s="83"/>
      <c r="AJ38" s="82">
        <f t="shared" ref="AJ38:AL40" si="16">AD38+AG38</f>
        <v>0</v>
      </c>
      <c r="AK38" s="83">
        <f t="shared" si="16"/>
        <v>0</v>
      </c>
      <c r="AL38" s="84">
        <f t="shared" si="16"/>
        <v>0</v>
      </c>
      <c r="AM38" s="83"/>
      <c r="AN38" s="83"/>
      <c r="AO38" s="83"/>
      <c r="AP38" s="82">
        <v>5015</v>
      </c>
      <c r="AQ38" s="83">
        <v>5765</v>
      </c>
      <c r="AR38" s="84"/>
      <c r="AS38" s="83">
        <v>384</v>
      </c>
      <c r="AT38" s="83">
        <v>103</v>
      </c>
      <c r="AU38" s="83"/>
      <c r="AV38" s="344">
        <f t="shared" si="15"/>
        <v>5399</v>
      </c>
      <c r="AW38" s="85">
        <f t="shared" si="15"/>
        <v>5868</v>
      </c>
      <c r="AX38" s="348"/>
      <c r="AY38" s="83">
        <v>72</v>
      </c>
      <c r="AZ38" s="83">
        <v>74</v>
      </c>
      <c r="BA38" s="83"/>
      <c r="BB38" s="345">
        <f t="shared" si="11"/>
        <v>32863</v>
      </c>
      <c r="BC38" s="346">
        <f t="shared" si="12"/>
        <v>5477.166666666667</v>
      </c>
      <c r="BD38" s="87">
        <f t="shared" si="3"/>
        <v>434</v>
      </c>
      <c r="BE38" s="75">
        <v>1900</v>
      </c>
      <c r="BF38" s="73"/>
    </row>
    <row r="39" spans="1:58" s="56" customFormat="1">
      <c r="A39" s="57" t="s">
        <v>148</v>
      </c>
      <c r="B39" s="34" t="s">
        <v>35</v>
      </c>
      <c r="C39" s="34" t="s">
        <v>133</v>
      </c>
      <c r="D39" s="59" t="s">
        <v>145</v>
      </c>
      <c r="E39" s="39" t="s">
        <v>149</v>
      </c>
      <c r="F39" s="237">
        <v>200600</v>
      </c>
      <c r="G39" s="34" t="s">
        <v>68</v>
      </c>
      <c r="H39" s="34" t="s">
        <v>40</v>
      </c>
      <c r="I39" s="34">
        <v>10</v>
      </c>
      <c r="J39" s="34">
        <v>301</v>
      </c>
      <c r="K39" s="34">
        <f t="shared" si="0"/>
        <v>3010</v>
      </c>
      <c r="L39" s="38" t="s">
        <v>306</v>
      </c>
      <c r="M39" s="38" t="s">
        <v>42</v>
      </c>
      <c r="N39" s="64" t="s">
        <v>64</v>
      </c>
      <c r="O39" s="34" t="s">
        <v>44</v>
      </c>
      <c r="P39" s="58" t="s">
        <v>147</v>
      </c>
      <c r="Q39" s="34" t="s">
        <v>51</v>
      </c>
      <c r="R39" s="60"/>
      <c r="S39" s="49"/>
      <c r="T39" s="61"/>
      <c r="U39" s="49"/>
      <c r="V39" s="49"/>
      <c r="W39" s="49"/>
      <c r="X39" s="60"/>
      <c r="Y39" s="49"/>
      <c r="Z39" s="61"/>
      <c r="AA39" s="49"/>
      <c r="AB39" s="49"/>
      <c r="AC39" s="49"/>
      <c r="AD39" s="60"/>
      <c r="AE39" s="49"/>
      <c r="AF39" s="61"/>
      <c r="AG39" s="49"/>
      <c r="AH39" s="49"/>
      <c r="AI39" s="49"/>
      <c r="AJ39" s="60">
        <f t="shared" si="16"/>
        <v>0</v>
      </c>
      <c r="AK39" s="49">
        <f t="shared" si="16"/>
        <v>0</v>
      </c>
      <c r="AL39" s="61">
        <f t="shared" si="16"/>
        <v>0</v>
      </c>
      <c r="AM39" s="49"/>
      <c r="AN39" s="49"/>
      <c r="AO39" s="49"/>
      <c r="AP39" s="60">
        <v>15290</v>
      </c>
      <c r="AQ39" s="49">
        <v>25596</v>
      </c>
      <c r="AR39" s="61"/>
      <c r="AS39" s="49">
        <v>16533</v>
      </c>
      <c r="AT39" s="49">
        <v>14104</v>
      </c>
      <c r="AU39" s="49"/>
      <c r="AV39" s="337">
        <f t="shared" si="15"/>
        <v>31823</v>
      </c>
      <c r="AW39" s="53">
        <f t="shared" si="15"/>
        <v>39700</v>
      </c>
      <c r="AX39" s="338"/>
      <c r="AY39" s="49">
        <f>1727+7436+5662</f>
        <v>14825</v>
      </c>
      <c r="AZ39" s="49">
        <f>1747+7407+5497</f>
        <v>14651</v>
      </c>
      <c r="BA39" s="49"/>
      <c r="BB39" s="339">
        <f t="shared" si="11"/>
        <v>198815</v>
      </c>
      <c r="BC39" s="340">
        <f t="shared" si="12"/>
        <v>33135.833333333336</v>
      </c>
      <c r="BD39" s="62">
        <f t="shared" si="3"/>
        <v>88776</v>
      </c>
      <c r="BE39" s="34">
        <v>1879</v>
      </c>
    </row>
    <row r="40" spans="1:58" s="56" customFormat="1">
      <c r="A40" s="57" t="s">
        <v>150</v>
      </c>
      <c r="B40" s="34" t="s">
        <v>35</v>
      </c>
      <c r="C40" s="34" t="s">
        <v>133</v>
      </c>
      <c r="D40" s="59" t="s">
        <v>151</v>
      </c>
      <c r="E40" s="39" t="s">
        <v>152</v>
      </c>
      <c r="F40" s="237">
        <v>413700</v>
      </c>
      <c r="G40" s="34" t="s">
        <v>68</v>
      </c>
      <c r="H40" s="34" t="s">
        <v>40</v>
      </c>
      <c r="I40" s="34"/>
      <c r="J40" s="34"/>
      <c r="K40" s="34">
        <f t="shared" si="0"/>
        <v>0</v>
      </c>
      <c r="L40" s="38" t="s">
        <v>153</v>
      </c>
      <c r="M40" s="38" t="s">
        <v>42</v>
      </c>
      <c r="N40" s="64" t="s">
        <v>43</v>
      </c>
      <c r="O40" s="34" t="s">
        <v>44</v>
      </c>
      <c r="P40" s="58" t="s">
        <v>154</v>
      </c>
      <c r="Q40" s="34" t="s">
        <v>46</v>
      </c>
      <c r="R40" s="68">
        <v>72552</v>
      </c>
      <c r="S40" s="44">
        <v>74731</v>
      </c>
      <c r="T40" s="69"/>
      <c r="U40" s="44">
        <v>20799</v>
      </c>
      <c r="V40" s="44">
        <v>18723</v>
      </c>
      <c r="W40" s="44"/>
      <c r="X40" s="68">
        <f>R40+U40</f>
        <v>93351</v>
      </c>
      <c r="Y40" s="44">
        <f>S40+V40</f>
        <v>93454</v>
      </c>
      <c r="Z40" s="69"/>
      <c r="AA40" s="44">
        <f>14105+3659</f>
        <v>17764</v>
      </c>
      <c r="AB40" s="44">
        <f>14065+3192</f>
        <v>17257</v>
      </c>
      <c r="AC40" s="44"/>
      <c r="AD40" s="70">
        <v>70056</v>
      </c>
      <c r="AE40" s="48">
        <v>74716</v>
      </c>
      <c r="AF40" s="71"/>
      <c r="AG40" s="48">
        <v>18897</v>
      </c>
      <c r="AH40" s="48">
        <v>18185</v>
      </c>
      <c r="AI40" s="48"/>
      <c r="AJ40" s="70">
        <f t="shared" si="16"/>
        <v>88953</v>
      </c>
      <c r="AK40" s="48">
        <f t="shared" si="16"/>
        <v>92901</v>
      </c>
      <c r="AL40" s="71">
        <f t="shared" si="16"/>
        <v>0</v>
      </c>
      <c r="AM40" s="48">
        <f>14512+1996</f>
        <v>16508</v>
      </c>
      <c r="AN40" s="48">
        <f>14736+1996</f>
        <v>16732</v>
      </c>
      <c r="AO40" s="48"/>
      <c r="AP40" s="60">
        <f>AVERAGE(R40,AD40)</f>
        <v>71304</v>
      </c>
      <c r="AQ40" s="49">
        <f>AVERAGE(S40,AE40)</f>
        <v>74723.5</v>
      </c>
      <c r="AR40" s="61"/>
      <c r="AS40" s="49">
        <f>AVERAGE(U40,AG40)</f>
        <v>19848</v>
      </c>
      <c r="AT40" s="49">
        <f>AVERAGE(V40,AH40)</f>
        <v>18454</v>
      </c>
      <c r="AU40" s="49"/>
      <c r="AV40" s="337">
        <f>AVERAGE(X40,AJ40)</f>
        <v>91152</v>
      </c>
      <c r="AW40" s="53">
        <f>AVERAGE(Y40,AK40)</f>
        <v>93177.5</v>
      </c>
      <c r="AX40" s="338"/>
      <c r="AY40" s="49">
        <f>AVERAGE(AA40,AM40)</f>
        <v>17136</v>
      </c>
      <c r="AZ40" s="49">
        <f>AVERAGE(AB40,AN40)</f>
        <v>16994.5</v>
      </c>
      <c r="BA40" s="49"/>
      <c r="BB40" s="339">
        <f t="shared" si="11"/>
        <v>548937.5</v>
      </c>
      <c r="BC40" s="340">
        <f t="shared" si="12"/>
        <v>91489.583333333328</v>
      </c>
      <c r="BD40" s="62">
        <f t="shared" si="3"/>
        <v>102674.5</v>
      </c>
      <c r="BE40" s="34">
        <v>1874</v>
      </c>
    </row>
    <row r="41" spans="1:58" s="56" customFormat="1">
      <c r="A41" s="57" t="s">
        <v>155</v>
      </c>
      <c r="B41" s="34" t="s">
        <v>35</v>
      </c>
      <c r="C41" s="34" t="s">
        <v>133</v>
      </c>
      <c r="D41" s="59" t="s">
        <v>151</v>
      </c>
      <c r="E41" s="39" t="s">
        <v>152</v>
      </c>
      <c r="F41" s="237">
        <v>413700</v>
      </c>
      <c r="G41" s="34" t="s">
        <v>68</v>
      </c>
      <c r="H41" s="34" t="s">
        <v>47</v>
      </c>
      <c r="I41" s="34">
        <v>6</v>
      </c>
      <c r="J41" s="34">
        <v>175</v>
      </c>
      <c r="K41" s="34">
        <f t="shared" si="0"/>
        <v>1050</v>
      </c>
      <c r="L41" s="34"/>
      <c r="M41" s="34" t="s">
        <v>53</v>
      </c>
      <c r="N41" s="64" t="s">
        <v>43</v>
      </c>
      <c r="O41" s="34" t="s">
        <v>54</v>
      </c>
      <c r="P41" s="58" t="s">
        <v>156</v>
      </c>
      <c r="Q41" s="34" t="s">
        <v>51</v>
      </c>
      <c r="R41" s="35"/>
      <c r="S41" s="34"/>
      <c r="T41" s="64"/>
      <c r="U41" s="34"/>
      <c r="V41" s="34"/>
      <c r="W41" s="34"/>
      <c r="X41" s="35"/>
      <c r="Y41" s="34"/>
      <c r="Z41" s="64"/>
      <c r="AA41" s="34"/>
      <c r="AB41" s="34"/>
      <c r="AC41" s="34"/>
      <c r="AD41" s="35"/>
      <c r="AE41" s="34"/>
      <c r="AF41" s="64"/>
      <c r="AG41" s="34"/>
      <c r="AH41" s="34"/>
      <c r="AI41" s="34"/>
      <c r="AJ41" s="35"/>
      <c r="AK41" s="34"/>
      <c r="AL41" s="64"/>
      <c r="AM41" s="34"/>
      <c r="AN41" s="34"/>
      <c r="AO41" s="34"/>
      <c r="AP41" s="35"/>
      <c r="AQ41" s="34"/>
      <c r="AR41" s="64"/>
      <c r="AS41" s="49">
        <f>((43870*4)+44158)/5</f>
        <v>43927.6</v>
      </c>
      <c r="AT41" s="49"/>
      <c r="AU41" s="49"/>
      <c r="AV41" s="337">
        <f t="shared" ref="AV41:AW57" si="17">AP41+AS41</f>
        <v>43927.6</v>
      </c>
      <c r="AW41" s="53"/>
      <c r="AX41" s="338"/>
      <c r="AY41" s="34"/>
      <c r="AZ41" s="34"/>
      <c r="BA41" s="34"/>
      <c r="BB41" s="339">
        <f t="shared" si="11"/>
        <v>219638</v>
      </c>
      <c r="BC41" s="340">
        <f t="shared" si="12"/>
        <v>43927.6</v>
      </c>
      <c r="BD41" s="62">
        <f t="shared" si="3"/>
        <v>0</v>
      </c>
      <c r="BE41" s="66">
        <v>2008</v>
      </c>
    </row>
    <row r="42" spans="1:58" s="56" customFormat="1">
      <c r="A42" s="88" t="s">
        <v>158</v>
      </c>
      <c r="B42" s="75" t="s">
        <v>35</v>
      </c>
      <c r="C42" s="75" t="s">
        <v>133</v>
      </c>
      <c r="D42" s="81" t="s">
        <v>151</v>
      </c>
      <c r="E42" s="80" t="s">
        <v>159</v>
      </c>
      <c r="F42" s="343">
        <v>35809</v>
      </c>
      <c r="G42" s="75" t="s">
        <v>82</v>
      </c>
      <c r="H42" s="75" t="s">
        <v>47</v>
      </c>
      <c r="I42" s="75">
        <v>8</v>
      </c>
      <c r="J42" s="75">
        <v>196</v>
      </c>
      <c r="K42" s="75">
        <f t="shared" si="0"/>
        <v>1568</v>
      </c>
      <c r="L42" s="79"/>
      <c r="M42" s="79" t="s">
        <v>42</v>
      </c>
      <c r="N42" s="98" t="s">
        <v>64</v>
      </c>
      <c r="O42" s="75" t="s">
        <v>44</v>
      </c>
      <c r="P42" s="77" t="s">
        <v>147</v>
      </c>
      <c r="Q42" s="75" t="s">
        <v>84</v>
      </c>
      <c r="R42" s="82"/>
      <c r="S42" s="83"/>
      <c r="T42" s="84"/>
      <c r="U42" s="83"/>
      <c r="V42" s="83"/>
      <c r="W42" s="83"/>
      <c r="X42" s="82"/>
      <c r="Y42" s="83"/>
      <c r="Z42" s="84"/>
      <c r="AA42" s="83"/>
      <c r="AB42" s="83"/>
      <c r="AC42" s="83"/>
      <c r="AD42" s="82"/>
      <c r="AE42" s="83"/>
      <c r="AF42" s="84"/>
      <c r="AG42" s="83"/>
      <c r="AH42" s="83"/>
      <c r="AI42" s="83"/>
      <c r="AJ42" s="82">
        <f t="shared" ref="AJ42:AL65" si="18">AD42+AG42</f>
        <v>0</v>
      </c>
      <c r="AK42" s="83">
        <f t="shared" si="18"/>
        <v>0</v>
      </c>
      <c r="AL42" s="84">
        <f t="shared" si="18"/>
        <v>0</v>
      </c>
      <c r="AM42" s="83"/>
      <c r="AN42" s="83"/>
      <c r="AO42" s="83"/>
      <c r="AP42" s="82">
        <v>4493</v>
      </c>
      <c r="AQ42" s="83">
        <v>4493</v>
      </c>
      <c r="AR42" s="84"/>
      <c r="AS42" s="83">
        <v>827</v>
      </c>
      <c r="AT42" s="83">
        <v>827</v>
      </c>
      <c r="AU42" s="83"/>
      <c r="AV42" s="344">
        <f t="shared" si="17"/>
        <v>5320</v>
      </c>
      <c r="AW42" s="85">
        <f t="shared" si="17"/>
        <v>5320</v>
      </c>
      <c r="AX42" s="348"/>
      <c r="AY42" s="83"/>
      <c r="AZ42" s="83"/>
      <c r="BA42" s="83"/>
      <c r="BB42" s="345">
        <f t="shared" si="11"/>
        <v>31920</v>
      </c>
      <c r="BC42" s="346">
        <f t="shared" si="12"/>
        <v>5320</v>
      </c>
      <c r="BD42" s="87">
        <f t="shared" si="3"/>
        <v>0</v>
      </c>
      <c r="BE42" s="75">
        <v>1911</v>
      </c>
      <c r="BF42" s="73"/>
    </row>
    <row r="43" spans="1:58" s="56" customFormat="1">
      <c r="A43" s="57" t="s">
        <v>160</v>
      </c>
      <c r="B43" s="34" t="s">
        <v>35</v>
      </c>
      <c r="C43" s="34" t="s">
        <v>133</v>
      </c>
      <c r="D43" s="59" t="s">
        <v>151</v>
      </c>
      <c r="E43" s="39" t="s">
        <v>161</v>
      </c>
      <c r="F43" s="237">
        <v>14135</v>
      </c>
      <c r="G43" s="34" t="s">
        <v>82</v>
      </c>
      <c r="H43" s="34" t="s">
        <v>40</v>
      </c>
      <c r="I43" s="34">
        <v>10</v>
      </c>
      <c r="J43" s="34">
        <v>301</v>
      </c>
      <c r="K43" s="34">
        <f t="shared" si="0"/>
        <v>3010</v>
      </c>
      <c r="L43" s="38" t="s">
        <v>304</v>
      </c>
      <c r="M43" s="38" t="s">
        <v>42</v>
      </c>
      <c r="N43" s="64" t="s">
        <v>43</v>
      </c>
      <c r="O43" s="34" t="s">
        <v>44</v>
      </c>
      <c r="P43" s="58" t="s">
        <v>147</v>
      </c>
      <c r="Q43" s="34" t="s">
        <v>51</v>
      </c>
      <c r="R43" s="60"/>
      <c r="S43" s="49"/>
      <c r="T43" s="61"/>
      <c r="U43" s="49"/>
      <c r="V43" s="49"/>
      <c r="W43" s="49"/>
      <c r="X43" s="60"/>
      <c r="Y43" s="49"/>
      <c r="Z43" s="61"/>
      <c r="AA43" s="49"/>
      <c r="AB43" s="49"/>
      <c r="AC43" s="49"/>
      <c r="AD43" s="60"/>
      <c r="AE43" s="49"/>
      <c r="AF43" s="61"/>
      <c r="AG43" s="49"/>
      <c r="AH43" s="49"/>
      <c r="AI43" s="49"/>
      <c r="AJ43" s="60">
        <f t="shared" si="18"/>
        <v>0</v>
      </c>
      <c r="AK43" s="49">
        <f t="shared" si="18"/>
        <v>0</v>
      </c>
      <c r="AL43" s="61">
        <f t="shared" si="18"/>
        <v>0</v>
      </c>
      <c r="AM43" s="49"/>
      <c r="AN43" s="49"/>
      <c r="AO43" s="49"/>
      <c r="AP43" s="60">
        <v>16414</v>
      </c>
      <c r="AQ43" s="49">
        <v>17072</v>
      </c>
      <c r="AR43" s="61"/>
      <c r="AS43" s="49">
        <v>2123</v>
      </c>
      <c r="AT43" s="49">
        <v>170</v>
      </c>
      <c r="AU43" s="49"/>
      <c r="AV43" s="337">
        <f t="shared" si="17"/>
        <v>18537</v>
      </c>
      <c r="AW43" s="53">
        <f t="shared" si="17"/>
        <v>17242</v>
      </c>
      <c r="AX43" s="338"/>
      <c r="AY43" s="49">
        <v>434</v>
      </c>
      <c r="AZ43" s="49">
        <v>433</v>
      </c>
      <c r="BA43" s="49"/>
      <c r="BB43" s="339">
        <f t="shared" si="11"/>
        <v>109927</v>
      </c>
      <c r="BC43" s="340">
        <f t="shared" si="12"/>
        <v>18321.166666666668</v>
      </c>
      <c r="BD43" s="62">
        <f t="shared" si="3"/>
        <v>2603</v>
      </c>
      <c r="BE43" s="34">
        <v>1900</v>
      </c>
    </row>
    <row r="44" spans="1:58" s="56" customFormat="1">
      <c r="A44" s="88" t="s">
        <v>162</v>
      </c>
      <c r="B44" s="75" t="s">
        <v>35</v>
      </c>
      <c r="C44" s="75" t="s">
        <v>133</v>
      </c>
      <c r="D44" s="81" t="s">
        <v>151</v>
      </c>
      <c r="E44" s="80" t="s">
        <v>163</v>
      </c>
      <c r="F44" s="343">
        <v>45888</v>
      </c>
      <c r="G44" s="75" t="s">
        <v>82</v>
      </c>
      <c r="H44" s="75" t="s">
        <v>47</v>
      </c>
      <c r="I44" s="75">
        <v>8</v>
      </c>
      <c r="J44" s="75">
        <v>196</v>
      </c>
      <c r="K44" s="75">
        <f t="shared" si="0"/>
        <v>1568</v>
      </c>
      <c r="L44" s="79" t="s">
        <v>164</v>
      </c>
      <c r="M44" s="79" t="s">
        <v>42</v>
      </c>
      <c r="N44" s="98" t="s">
        <v>64</v>
      </c>
      <c r="O44" s="75" t="s">
        <v>44</v>
      </c>
      <c r="P44" s="77" t="s">
        <v>147</v>
      </c>
      <c r="Q44" s="75" t="s">
        <v>84</v>
      </c>
      <c r="R44" s="82"/>
      <c r="S44" s="83"/>
      <c r="T44" s="84"/>
      <c r="U44" s="83"/>
      <c r="V44" s="83"/>
      <c r="W44" s="83"/>
      <c r="X44" s="82"/>
      <c r="Y44" s="83"/>
      <c r="Z44" s="84"/>
      <c r="AA44" s="83"/>
      <c r="AB44" s="83"/>
      <c r="AC44" s="83"/>
      <c r="AD44" s="82"/>
      <c r="AE44" s="83"/>
      <c r="AF44" s="84"/>
      <c r="AG44" s="83"/>
      <c r="AH44" s="83"/>
      <c r="AI44" s="83"/>
      <c r="AJ44" s="82">
        <f t="shared" si="18"/>
        <v>0</v>
      </c>
      <c r="AK44" s="83">
        <f t="shared" si="18"/>
        <v>0</v>
      </c>
      <c r="AL44" s="84">
        <f t="shared" si="18"/>
        <v>0</v>
      </c>
      <c r="AM44" s="83"/>
      <c r="AN44" s="83"/>
      <c r="AO44" s="83"/>
      <c r="AP44" s="82">
        <v>4378</v>
      </c>
      <c r="AQ44" s="83">
        <v>4378</v>
      </c>
      <c r="AR44" s="84"/>
      <c r="AS44" s="83">
        <v>501</v>
      </c>
      <c r="AT44" s="83">
        <v>501</v>
      </c>
      <c r="AU44" s="83"/>
      <c r="AV44" s="344">
        <f t="shared" si="17"/>
        <v>4879</v>
      </c>
      <c r="AW44" s="85">
        <f t="shared" si="17"/>
        <v>4879</v>
      </c>
      <c r="AX44" s="348"/>
      <c r="AY44" s="83"/>
      <c r="AZ44" s="83"/>
      <c r="BA44" s="83"/>
      <c r="BB44" s="345">
        <f t="shared" si="11"/>
        <v>29274</v>
      </c>
      <c r="BC44" s="346">
        <f t="shared" si="12"/>
        <v>4879</v>
      </c>
      <c r="BD44" s="87">
        <f t="shared" si="3"/>
        <v>0</v>
      </c>
      <c r="BE44" s="75">
        <v>1891</v>
      </c>
      <c r="BF44" s="73"/>
    </row>
    <row r="45" spans="1:58" s="56" customFormat="1">
      <c r="A45" s="357" t="s">
        <v>314</v>
      </c>
      <c r="B45" s="241" t="s">
        <v>35</v>
      </c>
      <c r="C45" s="241" t="s">
        <v>165</v>
      </c>
      <c r="D45" s="246" t="s">
        <v>166</v>
      </c>
      <c r="E45" s="247" t="s">
        <v>167</v>
      </c>
      <c r="F45" s="331">
        <v>196000</v>
      </c>
      <c r="G45" s="241" t="s">
        <v>68</v>
      </c>
      <c r="H45" s="241" t="s">
        <v>40</v>
      </c>
      <c r="I45" s="241">
        <v>10</v>
      </c>
      <c r="J45" s="241">
        <v>287</v>
      </c>
      <c r="K45" s="241">
        <f t="shared" si="0"/>
        <v>2870</v>
      </c>
      <c r="L45" s="245"/>
      <c r="M45" s="245" t="s">
        <v>42</v>
      </c>
      <c r="N45" s="262" t="s">
        <v>64</v>
      </c>
      <c r="O45" s="241" t="s">
        <v>44</v>
      </c>
      <c r="P45" s="243" t="s">
        <v>50</v>
      </c>
      <c r="Q45" s="241" t="s">
        <v>51</v>
      </c>
      <c r="R45" s="248"/>
      <c r="S45" s="249"/>
      <c r="T45" s="250"/>
      <c r="U45" s="249"/>
      <c r="V45" s="249"/>
      <c r="W45" s="249"/>
      <c r="X45" s="248"/>
      <c r="Y45" s="249"/>
      <c r="Z45" s="250"/>
      <c r="AA45" s="249"/>
      <c r="AB45" s="249"/>
      <c r="AC45" s="249"/>
      <c r="AD45" s="248"/>
      <c r="AE45" s="249"/>
      <c r="AF45" s="250"/>
      <c r="AG45" s="249"/>
      <c r="AH45" s="249"/>
      <c r="AI45" s="249"/>
      <c r="AJ45" s="248">
        <f t="shared" si="18"/>
        <v>0</v>
      </c>
      <c r="AK45" s="249">
        <f t="shared" si="18"/>
        <v>0</v>
      </c>
      <c r="AL45" s="250">
        <f t="shared" si="18"/>
        <v>0</v>
      </c>
      <c r="AM45" s="249"/>
      <c r="AN45" s="249"/>
      <c r="AO45" s="249"/>
      <c r="AP45" s="248">
        <f>(6050+6041+8054+6065)/4</f>
        <v>6552.5</v>
      </c>
      <c r="AQ45" s="249">
        <v>5974</v>
      </c>
      <c r="AR45" s="250"/>
      <c r="AS45" s="249"/>
      <c r="AT45" s="249"/>
      <c r="AU45" s="358">
        <v>44729</v>
      </c>
      <c r="AV45" s="332">
        <f t="shared" si="17"/>
        <v>6552.5</v>
      </c>
      <c r="AW45" s="251">
        <f t="shared" si="17"/>
        <v>5974</v>
      </c>
      <c r="AX45" s="359">
        <f>AR45+AU45</f>
        <v>44729</v>
      </c>
      <c r="AY45" s="249"/>
      <c r="AZ45" s="249"/>
      <c r="BA45" s="249"/>
      <c r="BB45" s="334">
        <f>(AV45*5)+AW45+AX45</f>
        <v>83465.5</v>
      </c>
      <c r="BC45" s="335">
        <f t="shared" ref="BC45:BC50" si="19">IF($O45="M-Sa",(BB45/6),IF($O45="m-su",(BB45/7),IF($O45="M-F",(BB45/5),IF($O45="T-Su",(BB45/6),IF($O45="T-Sa",(BB45/5),IF($O45="T-F",(BB45/4),IF($O45="Su-F",(BB45/6),(BB45/7))))))))</f>
        <v>13910.916666666666</v>
      </c>
      <c r="BD45" s="253">
        <f t="shared" si="3"/>
        <v>0</v>
      </c>
      <c r="BE45" s="241">
        <v>1864</v>
      </c>
      <c r="BF45" s="101"/>
    </row>
    <row r="46" spans="1:58" s="56" customFormat="1">
      <c r="A46" s="240" t="s">
        <v>319</v>
      </c>
      <c r="B46" s="241" t="s">
        <v>35</v>
      </c>
      <c r="C46" s="241" t="s">
        <v>165</v>
      </c>
      <c r="D46" s="246" t="s">
        <v>166</v>
      </c>
      <c r="E46" s="247" t="s">
        <v>168</v>
      </c>
      <c r="F46" s="331">
        <v>92540</v>
      </c>
      <c r="G46" s="241" t="s">
        <v>63</v>
      </c>
      <c r="H46" s="241" t="s">
        <v>40</v>
      </c>
      <c r="I46" s="241">
        <v>10</v>
      </c>
      <c r="J46" s="241">
        <v>301</v>
      </c>
      <c r="K46" s="241">
        <f t="shared" si="0"/>
        <v>3010</v>
      </c>
      <c r="L46" s="245"/>
      <c r="M46" s="245" t="s">
        <v>42</v>
      </c>
      <c r="N46" s="262" t="s">
        <v>64</v>
      </c>
      <c r="O46" s="241" t="s">
        <v>44</v>
      </c>
      <c r="P46" s="243" t="s">
        <v>50</v>
      </c>
      <c r="Q46" s="241" t="s">
        <v>51</v>
      </c>
      <c r="R46" s="248"/>
      <c r="S46" s="249"/>
      <c r="T46" s="250"/>
      <c r="U46" s="249"/>
      <c r="V46" s="249"/>
      <c r="W46" s="249"/>
      <c r="X46" s="248"/>
      <c r="Y46" s="249"/>
      <c r="Z46" s="250"/>
      <c r="AA46" s="249"/>
      <c r="AB46" s="249"/>
      <c r="AC46" s="249"/>
      <c r="AD46" s="248"/>
      <c r="AE46" s="249"/>
      <c r="AF46" s="250"/>
      <c r="AG46" s="249"/>
      <c r="AH46" s="249"/>
      <c r="AI46" s="249"/>
      <c r="AJ46" s="248">
        <f t="shared" si="18"/>
        <v>0</v>
      </c>
      <c r="AK46" s="249">
        <f t="shared" si="18"/>
        <v>0</v>
      </c>
      <c r="AL46" s="250">
        <f t="shared" si="18"/>
        <v>0</v>
      </c>
      <c r="AM46" s="249"/>
      <c r="AN46" s="249"/>
      <c r="AO46" s="249"/>
      <c r="AP46" s="248">
        <v>6840</v>
      </c>
      <c r="AQ46" s="249">
        <v>6911</v>
      </c>
      <c r="AR46" s="250"/>
      <c r="AS46" s="249">
        <v>382</v>
      </c>
      <c r="AT46" s="249">
        <v>378</v>
      </c>
      <c r="AU46" s="249"/>
      <c r="AV46" s="332">
        <f t="shared" si="17"/>
        <v>7222</v>
      </c>
      <c r="AW46" s="251">
        <f t="shared" si="17"/>
        <v>7289</v>
      </c>
      <c r="AX46" s="333"/>
      <c r="AY46" s="249">
        <f>212+118+216</f>
        <v>546</v>
      </c>
      <c r="AZ46" s="249">
        <f>212+116+213</f>
        <v>541</v>
      </c>
      <c r="BA46" s="249"/>
      <c r="BB46" s="334">
        <f>IF($O46="M-Sa",(AV46*5)+AW46+AX46,IF($O46="m-su",(AV46*5)+AW46+AX46,IF($O46="M-F",(AV46*5),IF($O46="T-Su",(AV46*4)+AW46+AX46,IF($O46="T-Sa",(AV46*4)+AW46,IF($O46="T-F",(AV46*4),IF($O46="Su-F",(AV46*5)+AW46+AX46,(AV46*5+AW46+AX46))))))))</f>
        <v>43399</v>
      </c>
      <c r="BC46" s="335">
        <f t="shared" si="19"/>
        <v>7233.166666666667</v>
      </c>
      <c r="BD46" s="253">
        <f t="shared" si="3"/>
        <v>3271</v>
      </c>
      <c r="BE46" s="241">
        <v>1834</v>
      </c>
      <c r="BF46" s="101"/>
    </row>
    <row r="47" spans="1:58" s="56" customFormat="1">
      <c r="A47" s="240" t="s">
        <v>320</v>
      </c>
      <c r="B47" s="241" t="s">
        <v>35</v>
      </c>
      <c r="C47" s="241" t="s">
        <v>165</v>
      </c>
      <c r="D47" s="246" t="s">
        <v>166</v>
      </c>
      <c r="E47" s="247" t="s">
        <v>169</v>
      </c>
      <c r="F47" s="331">
        <v>140500</v>
      </c>
      <c r="G47" s="241" t="s">
        <v>68</v>
      </c>
      <c r="H47" s="241" t="s">
        <v>40</v>
      </c>
      <c r="I47" s="241">
        <v>10</v>
      </c>
      <c r="J47" s="241">
        <v>302</v>
      </c>
      <c r="K47" s="241">
        <f t="shared" si="0"/>
        <v>3020</v>
      </c>
      <c r="L47" s="245"/>
      <c r="M47" s="245" t="s">
        <v>42</v>
      </c>
      <c r="N47" s="262" t="s">
        <v>43</v>
      </c>
      <c r="O47" s="241" t="s">
        <v>44</v>
      </c>
      <c r="P47" s="243" t="s">
        <v>50</v>
      </c>
      <c r="Q47" s="241" t="s">
        <v>51</v>
      </c>
      <c r="R47" s="248"/>
      <c r="S47" s="249"/>
      <c r="T47" s="250"/>
      <c r="U47" s="249"/>
      <c r="V47" s="249"/>
      <c r="W47" s="249"/>
      <c r="X47" s="248"/>
      <c r="Y47" s="249"/>
      <c r="Z47" s="250"/>
      <c r="AA47" s="249"/>
      <c r="AB47" s="249"/>
      <c r="AC47" s="249"/>
      <c r="AD47" s="248"/>
      <c r="AE47" s="249"/>
      <c r="AF47" s="250"/>
      <c r="AG47" s="249"/>
      <c r="AH47" s="249"/>
      <c r="AI47" s="249"/>
      <c r="AJ47" s="248">
        <f t="shared" si="18"/>
        <v>0</v>
      </c>
      <c r="AK47" s="249">
        <f t="shared" si="18"/>
        <v>0</v>
      </c>
      <c r="AL47" s="250">
        <f t="shared" si="18"/>
        <v>0</v>
      </c>
      <c r="AM47" s="249"/>
      <c r="AN47" s="249"/>
      <c r="AO47" s="249"/>
      <c r="AP47" s="248">
        <v>12382</v>
      </c>
      <c r="AQ47" s="249">
        <v>12773</v>
      </c>
      <c r="AR47" s="250"/>
      <c r="AS47" s="249">
        <v>6676</v>
      </c>
      <c r="AT47" s="249">
        <v>613</v>
      </c>
      <c r="AU47" s="249"/>
      <c r="AV47" s="332">
        <f t="shared" si="17"/>
        <v>19058</v>
      </c>
      <c r="AW47" s="251">
        <f t="shared" si="17"/>
        <v>13386</v>
      </c>
      <c r="AX47" s="333"/>
      <c r="AY47" s="249">
        <f>257+159+203</f>
        <v>619</v>
      </c>
      <c r="AZ47" s="249">
        <f>253+156+192</f>
        <v>601</v>
      </c>
      <c r="BA47" s="249"/>
      <c r="BB47" s="334">
        <f>IF($O47="M-Sa",(AV47*5)+AW47+AX47,IF($O47="m-su",(AV47*5)+AW47+AX47,IF($O47="M-F",(AV47*5),IF($O47="T-Su",(AV47*4)+AW47+AX47,IF($O47="T-Sa",(AV47*4)+AW47,IF($O47="T-F",(AV47*4),IF($O47="Su-F",(AV47*5)+AW47+AX47,(AV47*5+AW47+AX47))))))))</f>
        <v>108676</v>
      </c>
      <c r="BC47" s="335">
        <f t="shared" si="19"/>
        <v>18112.666666666668</v>
      </c>
      <c r="BD47" s="253">
        <f t="shared" si="3"/>
        <v>3696</v>
      </c>
      <c r="BE47" s="241">
        <v>1852</v>
      </c>
      <c r="BF47" s="101"/>
    </row>
    <row r="48" spans="1:58" s="101" customFormat="1">
      <c r="A48" s="357" t="s">
        <v>321</v>
      </c>
      <c r="B48" s="241" t="s">
        <v>35</v>
      </c>
      <c r="C48" s="241" t="s">
        <v>165</v>
      </c>
      <c r="D48" s="246" t="s">
        <v>166</v>
      </c>
      <c r="E48" s="247" t="s">
        <v>170</v>
      </c>
      <c r="F48" s="331">
        <v>39027</v>
      </c>
      <c r="G48" s="241" t="s">
        <v>82</v>
      </c>
      <c r="H48" s="241" t="s">
        <v>40</v>
      </c>
      <c r="I48" s="241">
        <v>10</v>
      </c>
      <c r="J48" s="241">
        <v>300</v>
      </c>
      <c r="K48" s="241">
        <f t="shared" si="0"/>
        <v>3000</v>
      </c>
      <c r="L48" s="245"/>
      <c r="M48" s="245" t="s">
        <v>42</v>
      </c>
      <c r="N48" s="262" t="s">
        <v>64</v>
      </c>
      <c r="O48" s="241" t="s">
        <v>171</v>
      </c>
      <c r="P48" s="243" t="s">
        <v>50</v>
      </c>
      <c r="Q48" s="241" t="s">
        <v>114</v>
      </c>
      <c r="R48" s="248"/>
      <c r="S48" s="249"/>
      <c r="T48" s="250"/>
      <c r="U48" s="249"/>
      <c r="V48" s="249"/>
      <c r="W48" s="249"/>
      <c r="X48" s="248"/>
      <c r="Y48" s="249"/>
      <c r="Z48" s="250"/>
      <c r="AA48" s="249"/>
      <c r="AB48" s="249"/>
      <c r="AC48" s="249"/>
      <c r="AD48" s="248"/>
      <c r="AE48" s="249"/>
      <c r="AF48" s="250"/>
      <c r="AG48" s="249"/>
      <c r="AH48" s="249"/>
      <c r="AI48" s="249"/>
      <c r="AJ48" s="248">
        <f t="shared" si="18"/>
        <v>0</v>
      </c>
      <c r="AK48" s="249">
        <f t="shared" si="18"/>
        <v>0</v>
      </c>
      <c r="AL48" s="250">
        <f t="shared" si="18"/>
        <v>0</v>
      </c>
      <c r="AM48" s="249"/>
      <c r="AN48" s="249"/>
      <c r="AO48" s="249"/>
      <c r="AP48" s="248">
        <v>5889</v>
      </c>
      <c r="AQ48" s="249">
        <v>5889</v>
      </c>
      <c r="AR48" s="250"/>
      <c r="AS48" s="249"/>
      <c r="AT48" s="249"/>
      <c r="AU48" s="358">
        <v>18645</v>
      </c>
      <c r="AV48" s="332">
        <f t="shared" si="17"/>
        <v>5889</v>
      </c>
      <c r="AW48" s="251">
        <f t="shared" si="17"/>
        <v>5889</v>
      </c>
      <c r="AX48" s="359">
        <f>AR48+AU48</f>
        <v>18645</v>
      </c>
      <c r="AY48" s="249">
        <v>175</v>
      </c>
      <c r="AZ48" s="249">
        <v>175</v>
      </c>
      <c r="BA48" s="249"/>
      <c r="BB48" s="334">
        <f>(AV48*5)+AW48+AX48</f>
        <v>53979</v>
      </c>
      <c r="BC48" s="335">
        <f t="shared" si="19"/>
        <v>10795.8</v>
      </c>
      <c r="BD48" s="253">
        <f t="shared" si="3"/>
        <v>875</v>
      </c>
      <c r="BE48" s="241">
        <v>1918</v>
      </c>
    </row>
    <row r="49" spans="1:58" s="56" customFormat="1">
      <c r="A49" s="240" t="s">
        <v>322</v>
      </c>
      <c r="B49" s="241" t="s">
        <v>35</v>
      </c>
      <c r="C49" s="241" t="s">
        <v>165</v>
      </c>
      <c r="D49" s="246" t="s">
        <v>166</v>
      </c>
      <c r="E49" s="247" t="s">
        <v>172</v>
      </c>
      <c r="F49" s="331">
        <v>104075</v>
      </c>
      <c r="G49" s="241" t="s">
        <v>68</v>
      </c>
      <c r="H49" s="241" t="s">
        <v>40</v>
      </c>
      <c r="I49" s="241">
        <v>10</v>
      </c>
      <c r="J49" s="241">
        <v>301</v>
      </c>
      <c r="K49" s="241">
        <f t="shared" si="0"/>
        <v>3010</v>
      </c>
      <c r="L49" s="245"/>
      <c r="M49" s="245" t="s">
        <v>42</v>
      </c>
      <c r="N49" s="262" t="s">
        <v>64</v>
      </c>
      <c r="O49" s="241" t="s">
        <v>44</v>
      </c>
      <c r="P49" s="243" t="s">
        <v>50</v>
      </c>
      <c r="Q49" s="241" t="s">
        <v>51</v>
      </c>
      <c r="R49" s="248"/>
      <c r="S49" s="249"/>
      <c r="T49" s="250"/>
      <c r="U49" s="249"/>
      <c r="V49" s="249"/>
      <c r="W49" s="249"/>
      <c r="X49" s="248"/>
      <c r="Y49" s="249"/>
      <c r="Z49" s="250"/>
      <c r="AA49" s="249"/>
      <c r="AB49" s="249"/>
      <c r="AC49" s="249"/>
      <c r="AD49" s="248"/>
      <c r="AE49" s="249"/>
      <c r="AF49" s="250"/>
      <c r="AG49" s="249"/>
      <c r="AH49" s="249"/>
      <c r="AI49" s="249"/>
      <c r="AJ49" s="248">
        <f t="shared" si="18"/>
        <v>0</v>
      </c>
      <c r="AK49" s="249">
        <f t="shared" si="18"/>
        <v>0</v>
      </c>
      <c r="AL49" s="250">
        <f t="shared" si="18"/>
        <v>0</v>
      </c>
      <c r="AM49" s="249"/>
      <c r="AN49" s="249"/>
      <c r="AO49" s="249"/>
      <c r="AP49" s="248">
        <v>5249</v>
      </c>
      <c r="AQ49" s="249">
        <v>5329</v>
      </c>
      <c r="AR49" s="250"/>
      <c r="AS49" s="249">
        <v>136</v>
      </c>
      <c r="AT49" s="249">
        <v>118</v>
      </c>
      <c r="AU49" s="249"/>
      <c r="AV49" s="332">
        <f t="shared" si="17"/>
        <v>5385</v>
      </c>
      <c r="AW49" s="251">
        <f t="shared" si="17"/>
        <v>5447</v>
      </c>
      <c r="AX49" s="333"/>
      <c r="AY49" s="249">
        <f>207+53</f>
        <v>260</v>
      </c>
      <c r="AZ49" s="249">
        <f>207+52</f>
        <v>259</v>
      </c>
      <c r="BA49" s="249"/>
      <c r="BB49" s="334">
        <f>IF($O49="M-Sa",(AV49*5)+AW49+AX49,IF($O49="m-su",(AV49*5)+AW49+AX49,IF($O49="M-F",(AV49*5),IF($O49="T-Su",(AV49*4)+AW49+AX49,IF($O49="T-Sa",(AV49*4)+AW49,IF($O49="T-F",(AV49*4),IF($O49="Su-F",(AV49*5)+AW49+AX49,(AV49*5+AW49+AX49))))))))</f>
        <v>32372</v>
      </c>
      <c r="BC49" s="335">
        <f t="shared" si="19"/>
        <v>5395.333333333333</v>
      </c>
      <c r="BD49" s="253">
        <f t="shared" si="3"/>
        <v>1559</v>
      </c>
      <c r="BE49" s="241">
        <v>1892</v>
      </c>
      <c r="BF49" s="101"/>
    </row>
    <row r="50" spans="1:58" s="73" customFormat="1">
      <c r="A50" s="357" t="s">
        <v>323</v>
      </c>
      <c r="B50" s="241" t="s">
        <v>35</v>
      </c>
      <c r="C50" s="241" t="s">
        <v>165</v>
      </c>
      <c r="D50" s="246" t="s">
        <v>166</v>
      </c>
      <c r="E50" s="247" t="s">
        <v>173</v>
      </c>
      <c r="F50" s="331">
        <v>18519</v>
      </c>
      <c r="G50" s="241" t="s">
        <v>82</v>
      </c>
      <c r="H50" s="241" t="s">
        <v>40</v>
      </c>
      <c r="I50" s="241">
        <v>10</v>
      </c>
      <c r="J50" s="241">
        <v>301</v>
      </c>
      <c r="K50" s="241">
        <f t="shared" si="0"/>
        <v>3010</v>
      </c>
      <c r="L50" s="245"/>
      <c r="M50" s="245" t="s">
        <v>42</v>
      </c>
      <c r="N50" s="262"/>
      <c r="O50" s="241" t="s">
        <v>54</v>
      </c>
      <c r="P50" s="243" t="s">
        <v>50</v>
      </c>
      <c r="Q50" s="241" t="s">
        <v>84</v>
      </c>
      <c r="R50" s="248"/>
      <c r="S50" s="249"/>
      <c r="T50" s="250"/>
      <c r="U50" s="249"/>
      <c r="V50" s="249"/>
      <c r="W50" s="249"/>
      <c r="X50" s="248"/>
      <c r="Y50" s="249"/>
      <c r="Z50" s="250"/>
      <c r="AA50" s="249"/>
      <c r="AB50" s="249"/>
      <c r="AC50" s="249"/>
      <c r="AD50" s="248"/>
      <c r="AE50" s="249"/>
      <c r="AF50" s="250"/>
      <c r="AG50" s="249"/>
      <c r="AH50" s="249"/>
      <c r="AI50" s="249"/>
      <c r="AJ50" s="248">
        <f t="shared" si="18"/>
        <v>0</v>
      </c>
      <c r="AK50" s="249">
        <f t="shared" si="18"/>
        <v>0</v>
      </c>
      <c r="AL50" s="250">
        <f t="shared" si="18"/>
        <v>0</v>
      </c>
      <c r="AM50" s="249"/>
      <c r="AN50" s="249"/>
      <c r="AO50" s="249"/>
      <c r="AP50" s="248">
        <v>3168</v>
      </c>
      <c r="AQ50" s="249"/>
      <c r="AR50" s="250"/>
      <c r="AS50" s="249"/>
      <c r="AT50" s="249"/>
      <c r="AU50" s="358">
        <v>18450</v>
      </c>
      <c r="AV50" s="332">
        <f t="shared" si="17"/>
        <v>3168</v>
      </c>
      <c r="AW50" s="251"/>
      <c r="AX50" s="359">
        <f>AR50+AU50</f>
        <v>18450</v>
      </c>
      <c r="AY50" s="249">
        <v>44</v>
      </c>
      <c r="AZ50" s="249"/>
      <c r="BA50" s="249"/>
      <c r="BB50" s="334">
        <f>(AV50*5)+AX50</f>
        <v>34290</v>
      </c>
      <c r="BC50" s="335">
        <f t="shared" si="19"/>
        <v>6858</v>
      </c>
      <c r="BD50" s="253">
        <f t="shared" si="3"/>
        <v>220</v>
      </c>
      <c r="BE50" s="241">
        <v>1843</v>
      </c>
      <c r="BF50" s="101"/>
    </row>
    <row r="51" spans="1:58" s="56" customFormat="1">
      <c r="A51" s="240" t="s">
        <v>324</v>
      </c>
      <c r="B51" s="241" t="s">
        <v>35</v>
      </c>
      <c r="C51" s="241" t="s">
        <v>165</v>
      </c>
      <c r="D51" s="246" t="s">
        <v>166</v>
      </c>
      <c r="E51" s="247" t="s">
        <v>174</v>
      </c>
      <c r="F51" s="331">
        <v>58957</v>
      </c>
      <c r="G51" s="241" t="s">
        <v>63</v>
      </c>
      <c r="H51" s="241" t="s">
        <v>40</v>
      </c>
      <c r="I51" s="241">
        <v>10</v>
      </c>
      <c r="J51" s="241">
        <v>287</v>
      </c>
      <c r="K51" s="241">
        <f t="shared" si="0"/>
        <v>2870</v>
      </c>
      <c r="L51" s="245"/>
      <c r="M51" s="245" t="s">
        <v>42</v>
      </c>
      <c r="N51" s="262" t="s">
        <v>43</v>
      </c>
      <c r="O51" s="241" t="s">
        <v>44</v>
      </c>
      <c r="P51" s="243" t="s">
        <v>50</v>
      </c>
      <c r="Q51" s="241" t="s">
        <v>51</v>
      </c>
      <c r="R51" s="248"/>
      <c r="S51" s="249"/>
      <c r="T51" s="250"/>
      <c r="U51" s="249"/>
      <c r="V51" s="249"/>
      <c r="W51" s="249"/>
      <c r="X51" s="248"/>
      <c r="Y51" s="249"/>
      <c r="Z51" s="250"/>
      <c r="AA51" s="249"/>
      <c r="AB51" s="249"/>
      <c r="AC51" s="249"/>
      <c r="AD51" s="248"/>
      <c r="AE51" s="249"/>
      <c r="AF51" s="250"/>
      <c r="AG51" s="249"/>
      <c r="AH51" s="249"/>
      <c r="AI51" s="249"/>
      <c r="AJ51" s="248">
        <f t="shared" si="18"/>
        <v>0</v>
      </c>
      <c r="AK51" s="249">
        <f t="shared" si="18"/>
        <v>0</v>
      </c>
      <c r="AL51" s="250">
        <f t="shared" si="18"/>
        <v>0</v>
      </c>
      <c r="AM51" s="249"/>
      <c r="AN51" s="249"/>
      <c r="AO51" s="249"/>
      <c r="AP51" s="248">
        <v>7329</v>
      </c>
      <c r="AQ51" s="249">
        <v>7525</v>
      </c>
      <c r="AR51" s="250"/>
      <c r="AS51" s="249">
        <v>150</v>
      </c>
      <c r="AT51" s="249">
        <v>147</v>
      </c>
      <c r="AU51" s="249"/>
      <c r="AV51" s="332">
        <f t="shared" si="17"/>
        <v>7479</v>
      </c>
      <c r="AW51" s="251">
        <f>AQ51+AT51</f>
        <v>7672</v>
      </c>
      <c r="AX51" s="333"/>
      <c r="AY51" s="249">
        <f>362+80+59</f>
        <v>501</v>
      </c>
      <c r="AZ51" s="249">
        <f>363+77+56</f>
        <v>496</v>
      </c>
      <c r="BA51" s="249"/>
      <c r="BB51" s="334">
        <f>IF($O51="M-Sa",(AV51*5)+AW51+AX51,IF($O51="m-su",(AV51*5)+AW51+AX51,IF($O51="M-F",(AV51*5),IF($O51="T-Su",(AV51*4)+AW51+AX51,IF($O51="T-Sa",(AV51*4)+AW51,IF($O51="T-F",(AV51*4),IF($O51="Su-F",(AV51*5)+AW51+AX51,(AV51*5+AW51+AX51))))))))</f>
        <v>45067</v>
      </c>
      <c r="BC51" s="335">
        <f t="shared" ref="BC51:BC66" si="20">IF($O51="M-Sa",(BB51/6),IF($O51="m-su",(BB51/7),IF($O51="M-F",(BB51/5),IF($O51="T-Su",(BB51/6),IF($O51="T-Sa",(BB51/5),IF($O51="T-F",(BB51/4),IF($O51="Su-F",(BB51/6),(BB51/7))))))))</f>
        <v>7511.166666666667</v>
      </c>
      <c r="BD51" s="253">
        <f t="shared" si="3"/>
        <v>3001</v>
      </c>
      <c r="BE51" s="241">
        <v>1846</v>
      </c>
      <c r="BF51" s="254"/>
    </row>
    <row r="52" spans="1:58" s="101" customFormat="1">
      <c r="A52" s="88" t="s">
        <v>175</v>
      </c>
      <c r="B52" s="75" t="s">
        <v>35</v>
      </c>
      <c r="C52" s="75" t="s">
        <v>165</v>
      </c>
      <c r="D52" s="81" t="s">
        <v>166</v>
      </c>
      <c r="E52" s="80" t="s">
        <v>176</v>
      </c>
      <c r="F52" s="343">
        <v>7834</v>
      </c>
      <c r="G52" s="75" t="s">
        <v>82</v>
      </c>
      <c r="H52" s="75" t="s">
        <v>47</v>
      </c>
      <c r="I52" s="75">
        <v>5</v>
      </c>
      <c r="J52" s="75">
        <v>210</v>
      </c>
      <c r="K52" s="75">
        <f t="shared" si="0"/>
        <v>1050</v>
      </c>
      <c r="L52" s="79"/>
      <c r="M52" s="79" t="s">
        <v>42</v>
      </c>
      <c r="N52" s="98"/>
      <c r="O52" s="75" t="s">
        <v>54</v>
      </c>
      <c r="P52" s="77" t="s">
        <v>113</v>
      </c>
      <c r="Q52" s="75" t="s">
        <v>114</v>
      </c>
      <c r="R52" s="82"/>
      <c r="S52" s="83"/>
      <c r="T52" s="84"/>
      <c r="U52" s="83"/>
      <c r="V52" s="83"/>
      <c r="W52" s="83"/>
      <c r="X52" s="82"/>
      <c r="Y52" s="83"/>
      <c r="Z52" s="84"/>
      <c r="AA52" s="83"/>
      <c r="AB52" s="83"/>
      <c r="AC52" s="83"/>
      <c r="AD52" s="82"/>
      <c r="AE52" s="83"/>
      <c r="AF52" s="84"/>
      <c r="AG52" s="83"/>
      <c r="AH52" s="83"/>
      <c r="AI52" s="83"/>
      <c r="AJ52" s="82">
        <f t="shared" si="18"/>
        <v>0</v>
      </c>
      <c r="AK52" s="83">
        <f t="shared" si="18"/>
        <v>0</v>
      </c>
      <c r="AL52" s="84">
        <f t="shared" si="18"/>
        <v>0</v>
      </c>
      <c r="AM52" s="83"/>
      <c r="AN52" s="83"/>
      <c r="AO52" s="83"/>
      <c r="AP52" s="82">
        <f>((1800*3)+4597)/4</f>
        <v>2499.25</v>
      </c>
      <c r="AQ52" s="83"/>
      <c r="AR52" s="84"/>
      <c r="AS52" s="83"/>
      <c r="AT52" s="83"/>
      <c r="AU52" s="83"/>
      <c r="AV52" s="344">
        <f t="shared" si="17"/>
        <v>2499.25</v>
      </c>
      <c r="AW52" s="85"/>
      <c r="AX52" s="348"/>
      <c r="AY52" s="83"/>
      <c r="AZ52" s="83"/>
      <c r="BA52" s="83"/>
      <c r="BB52" s="345">
        <f>IF($O52="M-Sa",(AV52*5)+AW52+AX52,IF($O52="m-su",(AV52*5)+AW52+AX52,IF($O52="M-F",(AV52*5),IF($O52="T-Su",(AV52*4)+AW52+AX52,IF($O52="T-Sa",(AV52*4)+AW52,IF($O52="T-F",(AV52*4),IF($O52="Su-F",(AV52*5)+AW52+AX52,(AV52*5+AW52+AX52))))))))</f>
        <v>12496.25</v>
      </c>
      <c r="BC52" s="346">
        <f t="shared" si="20"/>
        <v>2499.25</v>
      </c>
      <c r="BD52" s="87">
        <f t="shared" si="3"/>
        <v>0</v>
      </c>
      <c r="BE52" s="75">
        <v>1931</v>
      </c>
      <c r="BF52" s="104"/>
    </row>
    <row r="53" spans="1:58" s="73" customFormat="1">
      <c r="A53" s="57" t="s">
        <v>177</v>
      </c>
      <c r="B53" s="34" t="s">
        <v>35</v>
      </c>
      <c r="C53" s="34" t="s">
        <v>165</v>
      </c>
      <c r="D53" s="59" t="s">
        <v>166</v>
      </c>
      <c r="E53" s="39" t="s">
        <v>178</v>
      </c>
      <c r="F53" s="237">
        <v>142900</v>
      </c>
      <c r="G53" s="34" t="s">
        <v>68</v>
      </c>
      <c r="H53" s="34" t="s">
        <v>40</v>
      </c>
      <c r="I53" s="34">
        <v>10</v>
      </c>
      <c r="J53" s="34">
        <v>296</v>
      </c>
      <c r="K53" s="34">
        <f t="shared" si="0"/>
        <v>2960</v>
      </c>
      <c r="L53" s="38"/>
      <c r="M53" s="38" t="s">
        <v>42</v>
      </c>
      <c r="N53" s="64" t="s">
        <v>64</v>
      </c>
      <c r="O53" s="34" t="s">
        <v>44</v>
      </c>
      <c r="P53" s="58" t="s">
        <v>179</v>
      </c>
      <c r="Q53" s="34" t="s">
        <v>51</v>
      </c>
      <c r="R53" s="60"/>
      <c r="S53" s="49"/>
      <c r="T53" s="61"/>
      <c r="U53" s="49"/>
      <c r="V53" s="49"/>
      <c r="W53" s="49"/>
      <c r="X53" s="60"/>
      <c r="Y53" s="49"/>
      <c r="Z53" s="61"/>
      <c r="AA53" s="49"/>
      <c r="AB53" s="49"/>
      <c r="AC53" s="49"/>
      <c r="AD53" s="60"/>
      <c r="AE53" s="49"/>
      <c r="AF53" s="61"/>
      <c r="AG53" s="49"/>
      <c r="AH53" s="49"/>
      <c r="AI53" s="49"/>
      <c r="AJ53" s="60">
        <f t="shared" si="18"/>
        <v>0</v>
      </c>
      <c r="AK53" s="49">
        <f t="shared" si="18"/>
        <v>0</v>
      </c>
      <c r="AL53" s="61">
        <f t="shared" si="18"/>
        <v>0</v>
      </c>
      <c r="AM53" s="49"/>
      <c r="AN53" s="49"/>
      <c r="AO53" s="49"/>
      <c r="AP53" s="60">
        <v>9371</v>
      </c>
      <c r="AQ53" s="49">
        <v>9948</v>
      </c>
      <c r="AR53" s="61"/>
      <c r="AS53" s="49">
        <v>1972</v>
      </c>
      <c r="AT53" s="49">
        <v>1351</v>
      </c>
      <c r="AU53" s="49"/>
      <c r="AV53" s="337">
        <f t="shared" si="17"/>
        <v>11343</v>
      </c>
      <c r="AW53" s="53">
        <f>AQ53+AT53</f>
        <v>11299</v>
      </c>
      <c r="AX53" s="338"/>
      <c r="AY53" s="49">
        <f>379+818</f>
        <v>1197</v>
      </c>
      <c r="AZ53" s="49">
        <f>87+808</f>
        <v>895</v>
      </c>
      <c r="BA53" s="49"/>
      <c r="BB53" s="339">
        <f>IF($O53="M-Sa",(AV53*5)+AW53+AX53,IF($O53="m-su",(AV53*5)+AW53+AX53,IF($O53="M-F",(AV53*5),IF($O53="T-Su",(AV53*4)+AW53+AX53,IF($O53="T-Sa",(AV53*4)+AW53,IF($O53="T-F",(AV53*4),IF($O53="Su-F",(AV53*5)+AW53+AX53,(AV53*5+AW53+AX53))))))))</f>
        <v>68014</v>
      </c>
      <c r="BC53" s="340">
        <f t="shared" si="20"/>
        <v>11335.666666666666</v>
      </c>
      <c r="BD53" s="62">
        <f t="shared" si="3"/>
        <v>6880</v>
      </c>
      <c r="BE53" s="34">
        <v>1867</v>
      </c>
      <c r="BF53" s="56"/>
    </row>
    <row r="54" spans="1:58" s="101" customFormat="1">
      <c r="A54" s="57" t="s">
        <v>180</v>
      </c>
      <c r="B54" s="34" t="s">
        <v>35</v>
      </c>
      <c r="C54" s="34" t="s">
        <v>165</v>
      </c>
      <c r="D54" s="59" t="s">
        <v>166</v>
      </c>
      <c r="E54" s="39" t="s">
        <v>181</v>
      </c>
      <c r="F54" s="237">
        <v>756600</v>
      </c>
      <c r="G54" s="34" t="s">
        <v>127</v>
      </c>
      <c r="H54" s="34" t="s">
        <v>40</v>
      </c>
      <c r="I54" s="34">
        <v>10</v>
      </c>
      <c r="J54" s="34">
        <v>301</v>
      </c>
      <c r="K54" s="34">
        <f t="shared" si="0"/>
        <v>3010</v>
      </c>
      <c r="L54" s="38"/>
      <c r="M54" s="38" t="s">
        <v>42</v>
      </c>
      <c r="N54" s="64" t="s">
        <v>43</v>
      </c>
      <c r="O54" s="34" t="s">
        <v>44</v>
      </c>
      <c r="P54" s="58" t="s">
        <v>179</v>
      </c>
      <c r="Q54" s="34" t="s">
        <v>51</v>
      </c>
      <c r="R54" s="60"/>
      <c r="S54" s="49"/>
      <c r="T54" s="61"/>
      <c r="U54" s="49"/>
      <c r="V54" s="49"/>
      <c r="W54" s="49"/>
      <c r="X54" s="60"/>
      <c r="Y54" s="49"/>
      <c r="Z54" s="61"/>
      <c r="AA54" s="49"/>
      <c r="AB54" s="49"/>
      <c r="AC54" s="49"/>
      <c r="AD54" s="60"/>
      <c r="AE54" s="49"/>
      <c r="AF54" s="61"/>
      <c r="AG54" s="49"/>
      <c r="AH54" s="49"/>
      <c r="AI54" s="49"/>
      <c r="AJ54" s="60">
        <f t="shared" si="18"/>
        <v>0</v>
      </c>
      <c r="AK54" s="49">
        <f t="shared" si="18"/>
        <v>0</v>
      </c>
      <c r="AL54" s="61">
        <f t="shared" si="18"/>
        <v>0</v>
      </c>
      <c r="AM54" s="49"/>
      <c r="AN54" s="49"/>
      <c r="AO54" s="49"/>
      <c r="AP54" s="60">
        <v>74950</v>
      </c>
      <c r="AQ54" s="49">
        <v>80431</v>
      </c>
      <c r="AR54" s="61"/>
      <c r="AS54" s="49">
        <v>39013</v>
      </c>
      <c r="AT54" s="49">
        <v>36204</v>
      </c>
      <c r="AU54" s="49"/>
      <c r="AV54" s="337">
        <f t="shared" si="17"/>
        <v>113963</v>
      </c>
      <c r="AW54" s="53">
        <f>AQ54+AT54</f>
        <v>116635</v>
      </c>
      <c r="AX54" s="338"/>
      <c r="AY54" s="49">
        <f>4246+6399+23882</f>
        <v>34527</v>
      </c>
      <c r="AZ54" s="49">
        <f>2798+6384+25076</f>
        <v>34258</v>
      </c>
      <c r="BA54" s="49"/>
      <c r="BB54" s="339">
        <f>IF($O54="M-Sa",(AV54*5)+AW54+AX54,IF($O54="m-su",(AV54*5)+AW54+AX54,IF($O54="M-F",(AV54*5),IF($O54="T-Su",(AV54*4)+AW54+AX54,IF($O54="T-Sa",(AV54*4)+AW54,IF($O54="T-F",(AV54*4),IF($O54="Su-F",(AV54*5)+AW54+AX54,(AV54*5+AW54+AX54))))))))</f>
        <v>686450</v>
      </c>
      <c r="BC54" s="340">
        <f t="shared" si="20"/>
        <v>114408.33333333333</v>
      </c>
      <c r="BD54" s="62">
        <f t="shared" si="3"/>
        <v>206893</v>
      </c>
      <c r="BE54" s="34">
        <v>1846</v>
      </c>
      <c r="BF54" s="56"/>
    </row>
    <row r="55" spans="1:58" s="97" customFormat="1">
      <c r="A55" s="240" t="s">
        <v>325</v>
      </c>
      <c r="B55" s="241" t="s">
        <v>35</v>
      </c>
      <c r="C55" s="241" t="s">
        <v>165</v>
      </c>
      <c r="D55" s="246" t="s">
        <v>166</v>
      </c>
      <c r="E55" s="247" t="s">
        <v>182</v>
      </c>
      <c r="F55" s="331">
        <v>15348</v>
      </c>
      <c r="G55" s="241" t="s">
        <v>82</v>
      </c>
      <c r="H55" s="241" t="s">
        <v>47</v>
      </c>
      <c r="I55" s="241">
        <v>10</v>
      </c>
      <c r="J55" s="241">
        <v>160</v>
      </c>
      <c r="K55" s="241">
        <f t="shared" si="0"/>
        <v>1600</v>
      </c>
      <c r="L55" s="245"/>
      <c r="M55" s="245" t="s">
        <v>42</v>
      </c>
      <c r="N55" s="262" t="s">
        <v>64</v>
      </c>
      <c r="O55" s="241" t="s">
        <v>183</v>
      </c>
      <c r="P55" s="243" t="s">
        <v>50</v>
      </c>
      <c r="Q55" s="241" t="s">
        <v>114</v>
      </c>
      <c r="R55" s="248"/>
      <c r="S55" s="249"/>
      <c r="T55" s="250"/>
      <c r="U55" s="249"/>
      <c r="V55" s="249"/>
      <c r="W55" s="249"/>
      <c r="X55" s="248"/>
      <c r="Y55" s="249"/>
      <c r="Z55" s="250"/>
      <c r="AA55" s="249"/>
      <c r="AB55" s="249"/>
      <c r="AC55" s="249"/>
      <c r="AD55" s="248"/>
      <c r="AE55" s="249"/>
      <c r="AF55" s="250"/>
      <c r="AG55" s="249"/>
      <c r="AH55" s="249"/>
      <c r="AI55" s="249"/>
      <c r="AJ55" s="248">
        <f t="shared" si="18"/>
        <v>0</v>
      </c>
      <c r="AK55" s="249">
        <f t="shared" si="18"/>
        <v>0</v>
      </c>
      <c r="AL55" s="250">
        <f t="shared" si="18"/>
        <v>0</v>
      </c>
      <c r="AM55" s="249"/>
      <c r="AN55" s="249"/>
      <c r="AO55" s="249"/>
      <c r="AP55" s="248">
        <v>2077</v>
      </c>
      <c r="AQ55" s="249"/>
      <c r="AR55" s="250"/>
      <c r="AS55" s="249"/>
      <c r="AT55" s="249"/>
      <c r="AU55" s="249"/>
      <c r="AV55" s="332">
        <f t="shared" si="17"/>
        <v>2077</v>
      </c>
      <c r="AW55" s="251"/>
      <c r="AX55" s="333"/>
      <c r="AY55" s="249"/>
      <c r="AZ55" s="249"/>
      <c r="BA55" s="249"/>
      <c r="BB55" s="334">
        <f>IF($O55="M-Sa",(AV55*5)+AW55+AX55,IF($O55="m-su",(AV55*5)+AW55+AX55,IF($O55="M-F",(AV55*5),IF($O55="T-Su",(AV55*4)+AW55+AX55,IF($O55="T-Sa",(AV55*4)+AW55,IF($O55="T-F",(AV55*4),IF($O55="M-W,F",(AV55*4),IF($O55="Su-F",(AV55*5)+AW55+AX55,(AV55*5+AW55+AX55)))))))))</f>
        <v>8308</v>
      </c>
      <c r="BC55" s="335">
        <f t="shared" si="20"/>
        <v>1186.8571428571429</v>
      </c>
      <c r="BD55" s="253">
        <f t="shared" si="3"/>
        <v>0</v>
      </c>
      <c r="BE55" s="241">
        <v>1881</v>
      </c>
      <c r="BF55" s="101"/>
    </row>
    <row r="56" spans="1:58" s="56" customFormat="1">
      <c r="A56" s="240" t="s">
        <v>326</v>
      </c>
      <c r="B56" s="241" t="s">
        <v>35</v>
      </c>
      <c r="C56" s="241" t="s">
        <v>165</v>
      </c>
      <c r="D56" s="246" t="s">
        <v>166</v>
      </c>
      <c r="E56" s="247" t="s">
        <v>185</v>
      </c>
      <c r="F56" s="331">
        <v>165500</v>
      </c>
      <c r="G56" s="241" t="s">
        <v>68</v>
      </c>
      <c r="H56" s="241" t="s">
        <v>40</v>
      </c>
      <c r="I56" s="241">
        <v>10</v>
      </c>
      <c r="J56" s="241">
        <v>301</v>
      </c>
      <c r="K56" s="241">
        <f t="shared" si="0"/>
        <v>3010</v>
      </c>
      <c r="L56" s="245"/>
      <c r="M56" s="245" t="s">
        <v>42</v>
      </c>
      <c r="N56" s="262" t="s">
        <v>43</v>
      </c>
      <c r="O56" s="241" t="s">
        <v>44</v>
      </c>
      <c r="P56" s="243" t="s">
        <v>50</v>
      </c>
      <c r="Q56" s="241" t="s">
        <v>51</v>
      </c>
      <c r="R56" s="248"/>
      <c r="S56" s="249"/>
      <c r="T56" s="250"/>
      <c r="U56" s="249"/>
      <c r="V56" s="249"/>
      <c r="W56" s="249"/>
      <c r="X56" s="248"/>
      <c r="Y56" s="249"/>
      <c r="Z56" s="250"/>
      <c r="AA56" s="249"/>
      <c r="AB56" s="249"/>
      <c r="AC56" s="249"/>
      <c r="AD56" s="248"/>
      <c r="AE56" s="249"/>
      <c r="AF56" s="250"/>
      <c r="AG56" s="249"/>
      <c r="AH56" s="249"/>
      <c r="AI56" s="249"/>
      <c r="AJ56" s="248">
        <f t="shared" si="18"/>
        <v>0</v>
      </c>
      <c r="AK56" s="249">
        <f t="shared" si="18"/>
        <v>0</v>
      </c>
      <c r="AL56" s="250">
        <f t="shared" si="18"/>
        <v>0</v>
      </c>
      <c r="AM56" s="249"/>
      <c r="AN56" s="249"/>
      <c r="AO56" s="249"/>
      <c r="AP56" s="248">
        <v>15341</v>
      </c>
      <c r="AQ56" s="249">
        <v>17006</v>
      </c>
      <c r="AR56" s="250"/>
      <c r="AS56" s="249">
        <v>1736</v>
      </c>
      <c r="AT56" s="249">
        <v>1662</v>
      </c>
      <c r="AU56" s="249"/>
      <c r="AV56" s="332">
        <f t="shared" si="17"/>
        <v>17077</v>
      </c>
      <c r="AW56" s="251">
        <f>AQ56+AT56</f>
        <v>18668</v>
      </c>
      <c r="AX56" s="333"/>
      <c r="AY56" s="249">
        <f>749+734+669</f>
        <v>2152</v>
      </c>
      <c r="AZ56" s="249">
        <f>720+705+656</f>
        <v>2081</v>
      </c>
      <c r="BA56" s="249"/>
      <c r="BB56" s="334">
        <f t="shared" ref="BB56:BB66" si="21">IF($O56="M-Sa",(AV56*5)+AW56+AX56,IF($O56="m-su",(AV56*5)+AW56+AX56,IF($O56="M-F",(AV56*5),IF($O56="T-Su",(AV56*4)+AW56+AX56,IF($O56="T-Sa",(AV56*4)+AW56,IF($O56="T-F",(AV56*4),IF($O56="Su-F",(AV56*5)+AW56+AX56,(AV56*5+AW56+AX56))))))))</f>
        <v>104053</v>
      </c>
      <c r="BC56" s="335">
        <f t="shared" si="20"/>
        <v>17342.166666666668</v>
      </c>
      <c r="BD56" s="253">
        <f t="shared" si="3"/>
        <v>12841</v>
      </c>
      <c r="BE56" s="241">
        <v>1923</v>
      </c>
      <c r="BF56" s="101"/>
    </row>
    <row r="57" spans="1:58" s="101" customFormat="1">
      <c r="A57" s="240" t="s">
        <v>327</v>
      </c>
      <c r="B57" s="241" t="s">
        <v>35</v>
      </c>
      <c r="C57" s="241" t="s">
        <v>165</v>
      </c>
      <c r="D57" s="246" t="s">
        <v>166</v>
      </c>
      <c r="E57" s="247" t="s">
        <v>187</v>
      </c>
      <c r="F57" s="331">
        <v>500000</v>
      </c>
      <c r="G57" s="241" t="s">
        <v>68</v>
      </c>
      <c r="H57" s="241" t="s">
        <v>40</v>
      </c>
      <c r="I57" s="241">
        <v>10</v>
      </c>
      <c r="J57" s="241">
        <v>309</v>
      </c>
      <c r="K57" s="241">
        <f t="shared" si="0"/>
        <v>3090</v>
      </c>
      <c r="L57" s="245"/>
      <c r="M57" s="245" t="s">
        <v>42</v>
      </c>
      <c r="N57" s="262" t="s">
        <v>43</v>
      </c>
      <c r="O57" s="241" t="s">
        <v>44</v>
      </c>
      <c r="P57" s="243" t="s">
        <v>50</v>
      </c>
      <c r="Q57" s="241" t="s">
        <v>51</v>
      </c>
      <c r="R57" s="248"/>
      <c r="S57" s="249"/>
      <c r="T57" s="250"/>
      <c r="U57" s="249"/>
      <c r="V57" s="249"/>
      <c r="W57" s="249"/>
      <c r="X57" s="248"/>
      <c r="Y57" s="249"/>
      <c r="Z57" s="250"/>
      <c r="AA57" s="249"/>
      <c r="AB57" s="249"/>
      <c r="AC57" s="249"/>
      <c r="AD57" s="248"/>
      <c r="AE57" s="249"/>
      <c r="AF57" s="250"/>
      <c r="AG57" s="249"/>
      <c r="AH57" s="249"/>
      <c r="AI57" s="249"/>
      <c r="AJ57" s="248">
        <f t="shared" si="18"/>
        <v>0</v>
      </c>
      <c r="AK57" s="249">
        <f t="shared" si="18"/>
        <v>0</v>
      </c>
      <c r="AL57" s="250">
        <f t="shared" si="18"/>
        <v>0</v>
      </c>
      <c r="AM57" s="249"/>
      <c r="AN57" s="249"/>
      <c r="AO57" s="249"/>
      <c r="AP57" s="248">
        <v>50034</v>
      </c>
      <c r="AQ57" s="249">
        <v>54573</v>
      </c>
      <c r="AR57" s="250"/>
      <c r="AS57" s="249">
        <v>18988</v>
      </c>
      <c r="AT57" s="249">
        <v>18218</v>
      </c>
      <c r="AU57" s="249"/>
      <c r="AV57" s="332">
        <f t="shared" si="17"/>
        <v>69022</v>
      </c>
      <c r="AW57" s="251">
        <f>AQ57+AT57</f>
        <v>72791</v>
      </c>
      <c r="AX57" s="333"/>
      <c r="AY57" s="249">
        <f>2283+596+15822</f>
        <v>18701</v>
      </c>
      <c r="AZ57" s="249">
        <f>2191+564+15676</f>
        <v>18431</v>
      </c>
      <c r="BA57" s="249"/>
      <c r="BB57" s="334">
        <f t="shared" si="21"/>
        <v>417901</v>
      </c>
      <c r="BC57" s="335">
        <f t="shared" si="20"/>
        <v>69650.166666666672</v>
      </c>
      <c r="BD57" s="253">
        <f t="shared" si="3"/>
        <v>111936</v>
      </c>
      <c r="BE57" s="241">
        <v>1821</v>
      </c>
    </row>
    <row r="58" spans="1:58" s="101" customFormat="1">
      <c r="A58" s="57" t="s">
        <v>190</v>
      </c>
      <c r="B58" s="34" t="s">
        <v>35</v>
      </c>
      <c r="C58" s="34" t="s">
        <v>165</v>
      </c>
      <c r="D58" s="59" t="s">
        <v>166</v>
      </c>
      <c r="E58" s="39" t="s">
        <v>189</v>
      </c>
      <c r="F58" s="237"/>
      <c r="G58" s="34" t="s">
        <v>39</v>
      </c>
      <c r="H58" s="34" t="s">
        <v>40</v>
      </c>
      <c r="I58" s="34">
        <v>10</v>
      </c>
      <c r="J58" s="34">
        <v>280</v>
      </c>
      <c r="K58" s="34">
        <f t="shared" si="0"/>
        <v>2800</v>
      </c>
      <c r="L58" s="38" t="s">
        <v>191</v>
      </c>
      <c r="M58" s="38" t="s">
        <v>42</v>
      </c>
      <c r="N58" s="64" t="s">
        <v>43</v>
      </c>
      <c r="O58" s="34" t="s">
        <v>44</v>
      </c>
      <c r="P58" s="58" t="s">
        <v>192</v>
      </c>
      <c r="Q58" s="34" t="s">
        <v>46</v>
      </c>
      <c r="R58" s="68">
        <v>248342</v>
      </c>
      <c r="S58" s="44">
        <v>314828</v>
      </c>
      <c r="T58" s="69"/>
      <c r="U58" s="44">
        <v>99182</v>
      </c>
      <c r="V58" s="44">
        <v>98963</v>
      </c>
      <c r="W58" s="44"/>
      <c r="X58" s="68">
        <f>R58+U58</f>
        <v>347524</v>
      </c>
      <c r="Y58" s="44">
        <f>S58+V58</f>
        <v>413791</v>
      </c>
      <c r="Z58" s="69"/>
      <c r="AA58" s="44">
        <v>133978</v>
      </c>
      <c r="AB58" s="44">
        <v>132281</v>
      </c>
      <c r="AC58" s="44"/>
      <c r="AD58" s="70">
        <v>239700</v>
      </c>
      <c r="AE58" s="48">
        <v>310902</v>
      </c>
      <c r="AF58" s="71"/>
      <c r="AG58" s="48">
        <v>105862</v>
      </c>
      <c r="AH58" s="48">
        <v>108125</v>
      </c>
      <c r="AI58" s="48"/>
      <c r="AJ58" s="70">
        <f t="shared" si="18"/>
        <v>345562</v>
      </c>
      <c r="AK58" s="48">
        <f t="shared" si="18"/>
        <v>419027</v>
      </c>
      <c r="AL58" s="71">
        <f t="shared" si="18"/>
        <v>0</v>
      </c>
      <c r="AM58" s="48">
        <v>145090</v>
      </c>
      <c r="AN58" s="48">
        <v>145870</v>
      </c>
      <c r="AO58" s="48"/>
      <c r="AP58" s="60">
        <f>AVERAGE(R58,AD58)</f>
        <v>244021</v>
      </c>
      <c r="AQ58" s="49">
        <f>AVERAGE(S58,AE58)</f>
        <v>312865</v>
      </c>
      <c r="AR58" s="61"/>
      <c r="AS58" s="49">
        <f>AVERAGE(U58,AG58)</f>
        <v>102522</v>
      </c>
      <c r="AT58" s="49">
        <f>AVERAGE(V58,AH58)</f>
        <v>103544</v>
      </c>
      <c r="AU58" s="49"/>
      <c r="AV58" s="337">
        <f>AVERAGE(X58,AJ58)</f>
        <v>346543</v>
      </c>
      <c r="AW58" s="53">
        <f>AVERAGE(Y58,AK58)</f>
        <v>416409</v>
      </c>
      <c r="AX58" s="338"/>
      <c r="AY58" s="49">
        <f>AVERAGE(AA58,AM58)</f>
        <v>139534</v>
      </c>
      <c r="AZ58" s="49">
        <f>AVERAGE(AB58,AN58)</f>
        <v>139075.5</v>
      </c>
      <c r="BA58" s="49"/>
      <c r="BB58" s="339">
        <f t="shared" si="21"/>
        <v>2149124</v>
      </c>
      <c r="BC58" s="340">
        <f t="shared" si="20"/>
        <v>358187.33333333331</v>
      </c>
      <c r="BD58" s="62">
        <f t="shared" si="3"/>
        <v>836745.5</v>
      </c>
      <c r="BE58" s="34">
        <v>1848</v>
      </c>
      <c r="BF58" s="56"/>
    </row>
    <row r="59" spans="1:58" s="101" customFormat="1">
      <c r="A59" s="57" t="s">
        <v>188</v>
      </c>
      <c r="B59" s="34" t="s">
        <v>35</v>
      </c>
      <c r="C59" s="34" t="s">
        <v>165</v>
      </c>
      <c r="D59" s="59" t="s">
        <v>166</v>
      </c>
      <c r="E59" s="39" t="s">
        <v>189</v>
      </c>
      <c r="F59" s="237"/>
      <c r="G59" s="34" t="s">
        <v>39</v>
      </c>
      <c r="H59" s="34" t="s">
        <v>40</v>
      </c>
      <c r="I59" s="34">
        <v>10</v>
      </c>
      <c r="J59" s="34">
        <v>300</v>
      </c>
      <c r="K59" s="34">
        <f t="shared" si="0"/>
        <v>3000</v>
      </c>
      <c r="L59" s="38" t="s">
        <v>41</v>
      </c>
      <c r="M59" s="38" t="s">
        <v>42</v>
      </c>
      <c r="N59" s="64" t="s">
        <v>43</v>
      </c>
      <c r="O59" s="34" t="s">
        <v>44</v>
      </c>
      <c r="P59" s="58" t="s">
        <v>45</v>
      </c>
      <c r="Q59" s="34" t="s">
        <v>46</v>
      </c>
      <c r="R59" s="68">
        <v>82374</v>
      </c>
      <c r="S59" s="44">
        <v>91549</v>
      </c>
      <c r="T59" s="69"/>
      <c r="U59" s="44">
        <v>95408</v>
      </c>
      <c r="V59" s="44">
        <v>82251</v>
      </c>
      <c r="W59" s="44"/>
      <c r="X59" s="68">
        <f>R59+U59</f>
        <v>177782</v>
      </c>
      <c r="Y59" s="44">
        <f>S59+V59</f>
        <v>173800</v>
      </c>
      <c r="Z59" s="69"/>
      <c r="AA59" s="44">
        <v>47551</v>
      </c>
      <c r="AB59" s="44">
        <v>35433</v>
      </c>
      <c r="AC59" s="44"/>
      <c r="AD59" s="70">
        <v>84968</v>
      </c>
      <c r="AE59" s="48">
        <v>94353</v>
      </c>
      <c r="AF59" s="71"/>
      <c r="AG59" s="48">
        <v>103472</v>
      </c>
      <c r="AH59" s="48">
        <v>94896</v>
      </c>
      <c r="AI59" s="48"/>
      <c r="AJ59" s="70">
        <f t="shared" si="18"/>
        <v>188440</v>
      </c>
      <c r="AK59" s="48">
        <f t="shared" si="18"/>
        <v>189249</v>
      </c>
      <c r="AL59" s="71">
        <f t="shared" si="18"/>
        <v>0</v>
      </c>
      <c r="AM59" s="48">
        <v>47669</v>
      </c>
      <c r="AN59" s="48">
        <v>37864</v>
      </c>
      <c r="AO59" s="48"/>
      <c r="AP59" s="60">
        <f>AVERAGE(R59,AD59)</f>
        <v>83671</v>
      </c>
      <c r="AQ59" s="49">
        <f>AVERAGE(S59,AE59)</f>
        <v>92951</v>
      </c>
      <c r="AR59" s="61"/>
      <c r="AS59" s="49">
        <f>AVERAGE(U59,AG59)</f>
        <v>99440</v>
      </c>
      <c r="AT59" s="49">
        <f>AVERAGE(V59,AH59)</f>
        <v>88573.5</v>
      </c>
      <c r="AU59" s="49"/>
      <c r="AV59" s="337">
        <f>AVERAGE(X59,AJ59)</f>
        <v>183111</v>
      </c>
      <c r="AW59" s="53">
        <f>AVERAGE(Y59,AK59)</f>
        <v>181524.5</v>
      </c>
      <c r="AX59" s="338"/>
      <c r="AY59" s="49">
        <f>AVERAGE(AA59,AM59)</f>
        <v>47610</v>
      </c>
      <c r="AZ59" s="49">
        <f>AVERAGE(AB59,AN59)</f>
        <v>36648.5</v>
      </c>
      <c r="BA59" s="49"/>
      <c r="BB59" s="339">
        <f t="shared" si="21"/>
        <v>1097079.5</v>
      </c>
      <c r="BC59" s="340">
        <f t="shared" si="20"/>
        <v>182846.58333333334</v>
      </c>
      <c r="BD59" s="62">
        <f t="shared" si="3"/>
        <v>274698.5</v>
      </c>
      <c r="BE59" s="34">
        <v>1998</v>
      </c>
      <c r="BF59" s="56"/>
    </row>
    <row r="60" spans="1:58" s="101" customFormat="1">
      <c r="A60" s="240" t="s">
        <v>328</v>
      </c>
      <c r="B60" s="241" t="s">
        <v>35</v>
      </c>
      <c r="C60" s="241" t="s">
        <v>165</v>
      </c>
      <c r="D60" s="246" t="s">
        <v>166</v>
      </c>
      <c r="E60" s="247" t="s">
        <v>194</v>
      </c>
      <c r="F60" s="331">
        <v>82997</v>
      </c>
      <c r="G60" s="241" t="s">
        <v>63</v>
      </c>
      <c r="H60" s="241" t="s">
        <v>40</v>
      </c>
      <c r="I60" s="241">
        <v>10</v>
      </c>
      <c r="J60" s="241">
        <v>301</v>
      </c>
      <c r="K60" s="241">
        <f t="shared" si="0"/>
        <v>3010</v>
      </c>
      <c r="L60" s="245"/>
      <c r="M60" s="245" t="s">
        <v>42</v>
      </c>
      <c r="N60" s="262" t="s">
        <v>43</v>
      </c>
      <c r="O60" s="241" t="s">
        <v>44</v>
      </c>
      <c r="P60" s="243" t="s">
        <v>50</v>
      </c>
      <c r="Q60" s="241" t="s">
        <v>51</v>
      </c>
      <c r="R60" s="248"/>
      <c r="S60" s="249"/>
      <c r="T60" s="250"/>
      <c r="U60" s="249"/>
      <c r="V60" s="249"/>
      <c r="W60" s="249"/>
      <c r="X60" s="248"/>
      <c r="Y60" s="249"/>
      <c r="Z60" s="250"/>
      <c r="AA60" s="249"/>
      <c r="AB60" s="249"/>
      <c r="AC60" s="249"/>
      <c r="AD60" s="248"/>
      <c r="AE60" s="249"/>
      <c r="AF60" s="250"/>
      <c r="AG60" s="249"/>
      <c r="AH60" s="249"/>
      <c r="AI60" s="249"/>
      <c r="AJ60" s="248">
        <f t="shared" si="18"/>
        <v>0</v>
      </c>
      <c r="AK60" s="249">
        <f t="shared" si="18"/>
        <v>0</v>
      </c>
      <c r="AL60" s="250">
        <f t="shared" si="18"/>
        <v>0</v>
      </c>
      <c r="AM60" s="249"/>
      <c r="AN60" s="249"/>
      <c r="AO60" s="249"/>
      <c r="AP60" s="248">
        <v>8034</v>
      </c>
      <c r="AQ60" s="249">
        <v>8057</v>
      </c>
      <c r="AR60" s="250"/>
      <c r="AS60" s="249">
        <v>6025</v>
      </c>
      <c r="AT60" s="249">
        <v>538</v>
      </c>
      <c r="AU60" s="249"/>
      <c r="AV60" s="332">
        <f t="shared" ref="AV60:AW62" si="22">AP60+AS60</f>
        <v>14059</v>
      </c>
      <c r="AW60" s="251">
        <f t="shared" si="22"/>
        <v>8595</v>
      </c>
      <c r="AX60" s="333"/>
      <c r="AY60" s="249">
        <f>203+312+72</f>
        <v>587</v>
      </c>
      <c r="AZ60" s="249">
        <f>203+312+70</f>
        <v>585</v>
      </c>
      <c r="BA60" s="249"/>
      <c r="BB60" s="334">
        <f t="shared" si="21"/>
        <v>78890</v>
      </c>
      <c r="BC60" s="335">
        <f t="shared" si="20"/>
        <v>13148.333333333334</v>
      </c>
      <c r="BD60" s="253">
        <f t="shared" si="3"/>
        <v>3520</v>
      </c>
      <c r="BE60" s="241">
        <v>1879</v>
      </c>
    </row>
    <row r="61" spans="1:58" s="101" customFormat="1">
      <c r="A61" s="240" t="s">
        <v>329</v>
      </c>
      <c r="B61" s="241" t="s">
        <v>35</v>
      </c>
      <c r="C61" s="241" t="s">
        <v>165</v>
      </c>
      <c r="D61" s="246" t="s">
        <v>166</v>
      </c>
      <c r="E61" s="247" t="s">
        <v>196</v>
      </c>
      <c r="F61" s="331">
        <v>64043</v>
      </c>
      <c r="G61" s="241" t="s">
        <v>63</v>
      </c>
      <c r="H61" s="241" t="s">
        <v>40</v>
      </c>
      <c r="I61" s="241">
        <v>10</v>
      </c>
      <c r="J61" s="241">
        <v>301</v>
      </c>
      <c r="K61" s="241">
        <f t="shared" si="0"/>
        <v>3010</v>
      </c>
      <c r="L61" s="245"/>
      <c r="M61" s="245" t="s">
        <v>42</v>
      </c>
      <c r="N61" s="262" t="s">
        <v>64</v>
      </c>
      <c r="O61" s="241" t="s">
        <v>44</v>
      </c>
      <c r="P61" s="243" t="s">
        <v>50</v>
      </c>
      <c r="Q61" s="241" t="s">
        <v>51</v>
      </c>
      <c r="R61" s="248"/>
      <c r="S61" s="249"/>
      <c r="T61" s="250"/>
      <c r="U61" s="249"/>
      <c r="V61" s="249"/>
      <c r="W61" s="249"/>
      <c r="X61" s="248"/>
      <c r="Y61" s="249"/>
      <c r="Z61" s="250"/>
      <c r="AA61" s="249"/>
      <c r="AB61" s="249"/>
      <c r="AC61" s="249"/>
      <c r="AD61" s="248"/>
      <c r="AE61" s="249"/>
      <c r="AF61" s="250"/>
      <c r="AG61" s="249"/>
      <c r="AH61" s="249"/>
      <c r="AI61" s="249"/>
      <c r="AJ61" s="248">
        <f t="shared" si="18"/>
        <v>0</v>
      </c>
      <c r="AK61" s="249">
        <f t="shared" si="18"/>
        <v>0</v>
      </c>
      <c r="AL61" s="250">
        <f t="shared" si="18"/>
        <v>0</v>
      </c>
      <c r="AM61" s="249"/>
      <c r="AN61" s="249"/>
      <c r="AO61" s="249"/>
      <c r="AP61" s="248">
        <v>8208</v>
      </c>
      <c r="AQ61" s="249">
        <v>8623</v>
      </c>
      <c r="AR61" s="250"/>
      <c r="AS61" s="249">
        <v>231</v>
      </c>
      <c r="AT61" s="249">
        <v>237</v>
      </c>
      <c r="AU61" s="249"/>
      <c r="AV61" s="332">
        <f t="shared" si="22"/>
        <v>8439</v>
      </c>
      <c r="AW61" s="251">
        <f t="shared" si="22"/>
        <v>8860</v>
      </c>
      <c r="AX61" s="333"/>
      <c r="AY61" s="249">
        <f>354+111+12</f>
        <v>477</v>
      </c>
      <c r="AZ61" s="249">
        <f>348+107+13</f>
        <v>468</v>
      </c>
      <c r="BA61" s="249"/>
      <c r="BB61" s="334">
        <f t="shared" si="21"/>
        <v>51055</v>
      </c>
      <c r="BC61" s="335">
        <f t="shared" si="20"/>
        <v>8509.1666666666661</v>
      </c>
      <c r="BD61" s="253">
        <f t="shared" si="3"/>
        <v>2853</v>
      </c>
      <c r="BE61" s="241">
        <v>1909</v>
      </c>
    </row>
    <row r="62" spans="1:58" s="101" customFormat="1">
      <c r="A62" s="240" t="s">
        <v>330</v>
      </c>
      <c r="B62" s="241" t="s">
        <v>35</v>
      </c>
      <c r="C62" s="241" t="s">
        <v>165</v>
      </c>
      <c r="D62" s="246" t="s">
        <v>166</v>
      </c>
      <c r="E62" s="247" t="s">
        <v>197</v>
      </c>
      <c r="F62" s="331">
        <v>40731</v>
      </c>
      <c r="G62" s="241" t="s">
        <v>82</v>
      </c>
      <c r="H62" s="241" t="s">
        <v>40</v>
      </c>
      <c r="I62" s="241">
        <v>10</v>
      </c>
      <c r="J62" s="241">
        <v>301</v>
      </c>
      <c r="K62" s="241">
        <f t="shared" si="0"/>
        <v>3010</v>
      </c>
      <c r="L62" s="245"/>
      <c r="M62" s="245" t="s">
        <v>42</v>
      </c>
      <c r="N62" s="262" t="s">
        <v>64</v>
      </c>
      <c r="O62" s="241" t="s">
        <v>44</v>
      </c>
      <c r="P62" s="243" t="s">
        <v>50</v>
      </c>
      <c r="Q62" s="241" t="s">
        <v>114</v>
      </c>
      <c r="R62" s="248"/>
      <c r="S62" s="249"/>
      <c r="T62" s="250"/>
      <c r="U62" s="249"/>
      <c r="V62" s="249"/>
      <c r="W62" s="249"/>
      <c r="X62" s="248"/>
      <c r="Y62" s="249"/>
      <c r="Z62" s="250"/>
      <c r="AA62" s="249"/>
      <c r="AB62" s="249"/>
      <c r="AC62" s="249"/>
      <c r="AD62" s="248"/>
      <c r="AE62" s="249"/>
      <c r="AF62" s="250"/>
      <c r="AG62" s="249"/>
      <c r="AH62" s="249"/>
      <c r="AI62" s="249"/>
      <c r="AJ62" s="248">
        <f t="shared" si="18"/>
        <v>0</v>
      </c>
      <c r="AK62" s="249">
        <f t="shared" si="18"/>
        <v>0</v>
      </c>
      <c r="AL62" s="250">
        <f t="shared" si="18"/>
        <v>0</v>
      </c>
      <c r="AM62" s="249"/>
      <c r="AN62" s="249"/>
      <c r="AO62" s="249"/>
      <c r="AP62" s="248">
        <v>9157</v>
      </c>
      <c r="AQ62" s="249">
        <v>6139</v>
      </c>
      <c r="AR62" s="250"/>
      <c r="AS62" s="249"/>
      <c r="AT62" s="249"/>
      <c r="AU62" s="249"/>
      <c r="AV62" s="332">
        <f t="shared" si="22"/>
        <v>9157</v>
      </c>
      <c r="AW62" s="251">
        <f t="shared" si="22"/>
        <v>6139</v>
      </c>
      <c r="AX62" s="333"/>
      <c r="AY62" s="249"/>
      <c r="AZ62" s="249"/>
      <c r="BA62" s="249"/>
      <c r="BB62" s="334">
        <f t="shared" si="21"/>
        <v>51924</v>
      </c>
      <c r="BC62" s="335">
        <f t="shared" si="20"/>
        <v>8654</v>
      </c>
      <c r="BD62" s="253">
        <f t="shared" si="3"/>
        <v>0</v>
      </c>
      <c r="BE62" s="241">
        <v>1870</v>
      </c>
    </row>
    <row r="63" spans="1:58" s="101" customFormat="1">
      <c r="A63" s="57" t="s">
        <v>201</v>
      </c>
      <c r="B63" s="34" t="s">
        <v>35</v>
      </c>
      <c r="C63" s="34" t="s">
        <v>165</v>
      </c>
      <c r="D63" s="59" t="s">
        <v>166</v>
      </c>
      <c r="E63" s="39" t="s">
        <v>198</v>
      </c>
      <c r="F63" s="237">
        <v>1273300</v>
      </c>
      <c r="G63" s="34" t="s">
        <v>39</v>
      </c>
      <c r="H63" s="34" t="s">
        <v>40</v>
      </c>
      <c r="I63" s="34">
        <v>10</v>
      </c>
      <c r="J63" s="34">
        <v>310</v>
      </c>
      <c r="K63" s="34">
        <f t="shared" si="0"/>
        <v>3100</v>
      </c>
      <c r="L63" s="38" t="s">
        <v>107</v>
      </c>
      <c r="M63" s="38" t="s">
        <v>42</v>
      </c>
      <c r="N63" s="64" t="s">
        <v>43</v>
      </c>
      <c r="O63" s="34" t="s">
        <v>44</v>
      </c>
      <c r="P63" s="58" t="s">
        <v>45</v>
      </c>
      <c r="Q63" s="34" t="s">
        <v>46</v>
      </c>
      <c r="R63" s="68">
        <v>77777</v>
      </c>
      <c r="S63" s="44">
        <v>89460</v>
      </c>
      <c r="T63" s="69"/>
      <c r="U63" s="44">
        <v>34759</v>
      </c>
      <c r="V63" s="44">
        <v>13119</v>
      </c>
      <c r="W63" s="44"/>
      <c r="X63" s="68">
        <f>R63+U63</f>
        <v>112536</v>
      </c>
      <c r="Y63" s="44">
        <f>S63+V63</f>
        <v>102579</v>
      </c>
      <c r="Z63" s="69"/>
      <c r="AA63" s="44">
        <v>32796</v>
      </c>
      <c r="AB63" s="44">
        <v>13153</v>
      </c>
      <c r="AC63" s="44"/>
      <c r="AD63" s="70">
        <v>74394</v>
      </c>
      <c r="AE63" s="48">
        <v>84341</v>
      </c>
      <c r="AF63" s="71"/>
      <c r="AG63" s="48">
        <v>24297</v>
      </c>
      <c r="AH63" s="48">
        <v>9488</v>
      </c>
      <c r="AI63" s="48"/>
      <c r="AJ63" s="70">
        <f t="shared" si="18"/>
        <v>98691</v>
      </c>
      <c r="AK63" s="48">
        <f t="shared" si="18"/>
        <v>93829</v>
      </c>
      <c r="AL63" s="71">
        <f t="shared" si="18"/>
        <v>0</v>
      </c>
      <c r="AM63" s="48">
        <v>24869</v>
      </c>
      <c r="AN63" s="48">
        <v>10421</v>
      </c>
      <c r="AO63" s="48"/>
      <c r="AP63" s="60">
        <f>AVERAGE(R63,AD63)</f>
        <v>76085.5</v>
      </c>
      <c r="AQ63" s="49">
        <f>AVERAGE(S63,AE63)</f>
        <v>86900.5</v>
      </c>
      <c r="AR63" s="61"/>
      <c r="AS63" s="49">
        <f>AVERAGE(U63,AG63)</f>
        <v>29528</v>
      </c>
      <c r="AT63" s="49">
        <f>AVERAGE(V63,AH63)</f>
        <v>11303.5</v>
      </c>
      <c r="AU63" s="49"/>
      <c r="AV63" s="337">
        <f>AVERAGE(X63,AJ63)</f>
        <v>105613.5</v>
      </c>
      <c r="AW63" s="53">
        <f>AVERAGE(Y63,AK63)</f>
        <v>98204</v>
      </c>
      <c r="AX63" s="338"/>
      <c r="AY63" s="49">
        <f>AVERAGE(AA63,AM63)</f>
        <v>28832.5</v>
      </c>
      <c r="AZ63" s="49">
        <f>AVERAGE(AB63,AN63)</f>
        <v>11787</v>
      </c>
      <c r="BA63" s="49"/>
      <c r="BB63" s="339">
        <f t="shared" si="21"/>
        <v>626271.5</v>
      </c>
      <c r="BC63" s="340">
        <f t="shared" si="20"/>
        <v>104378.58333333333</v>
      </c>
      <c r="BD63" s="62">
        <f t="shared" si="3"/>
        <v>155949.5</v>
      </c>
      <c r="BE63" s="34">
        <v>1845</v>
      </c>
      <c r="BF63" s="56"/>
    </row>
    <row r="64" spans="1:58" s="101" customFormat="1">
      <c r="A64" s="57" t="s">
        <v>199</v>
      </c>
      <c r="B64" s="34" t="s">
        <v>132</v>
      </c>
      <c r="C64" s="34" t="s">
        <v>165</v>
      </c>
      <c r="D64" s="59" t="s">
        <v>166</v>
      </c>
      <c r="E64" s="39" t="s">
        <v>198</v>
      </c>
      <c r="F64" s="237">
        <v>1273300</v>
      </c>
      <c r="G64" s="34" t="s">
        <v>39</v>
      </c>
      <c r="H64" s="34" t="s">
        <v>47</v>
      </c>
      <c r="I64" s="34">
        <v>10</v>
      </c>
      <c r="J64" s="34">
        <v>195</v>
      </c>
      <c r="K64" s="34">
        <f t="shared" si="0"/>
        <v>1950</v>
      </c>
      <c r="L64" s="38"/>
      <c r="M64" s="38" t="s">
        <v>42</v>
      </c>
      <c r="N64" s="64" t="s">
        <v>43</v>
      </c>
      <c r="O64" s="34" t="s">
        <v>44</v>
      </c>
      <c r="P64" s="58" t="s">
        <v>200</v>
      </c>
      <c r="Q64" s="34" t="s">
        <v>46</v>
      </c>
      <c r="R64" s="68">
        <v>27944</v>
      </c>
      <c r="S64" s="44">
        <v>30445</v>
      </c>
      <c r="T64" s="69"/>
      <c r="U64" s="44">
        <v>8105</v>
      </c>
      <c r="V64" s="44">
        <v>2614</v>
      </c>
      <c r="W64" s="44"/>
      <c r="X64" s="68">
        <f>R64+U64</f>
        <v>36049</v>
      </c>
      <c r="Y64" s="44">
        <f>S64+V64</f>
        <v>33059</v>
      </c>
      <c r="Z64" s="69"/>
      <c r="AA64" s="44">
        <v>5397</v>
      </c>
      <c r="AB64" s="44">
        <v>5414</v>
      </c>
      <c r="AC64" s="44"/>
      <c r="AD64" s="70">
        <v>26355</v>
      </c>
      <c r="AE64" s="48">
        <v>28619</v>
      </c>
      <c r="AF64" s="71"/>
      <c r="AG64" s="48">
        <v>7105</v>
      </c>
      <c r="AH64" s="48">
        <v>1049</v>
      </c>
      <c r="AI64" s="48"/>
      <c r="AJ64" s="70">
        <f t="shared" si="18"/>
        <v>33460</v>
      </c>
      <c r="AK64" s="48">
        <f t="shared" si="18"/>
        <v>29668</v>
      </c>
      <c r="AL64" s="71">
        <f t="shared" si="18"/>
        <v>0</v>
      </c>
      <c r="AM64" s="48">
        <v>3899</v>
      </c>
      <c r="AN64" s="48">
        <v>3607</v>
      </c>
      <c r="AO64" s="48"/>
      <c r="AP64" s="60">
        <f>AVERAGE(R64,AD64)</f>
        <v>27149.5</v>
      </c>
      <c r="AQ64" s="49">
        <f>AVERAGE(S64,AE64)</f>
        <v>29532</v>
      </c>
      <c r="AR64" s="61"/>
      <c r="AS64" s="49">
        <f>AVERAGE(U64,AG64)</f>
        <v>7605</v>
      </c>
      <c r="AT64" s="49">
        <f>AVERAGE(V64,AH64)</f>
        <v>1831.5</v>
      </c>
      <c r="AU64" s="49"/>
      <c r="AV64" s="337">
        <f>AVERAGE(X64,AJ64)</f>
        <v>34754.5</v>
      </c>
      <c r="AW64" s="53">
        <f>AVERAGE(Y64,AK64)</f>
        <v>31363.5</v>
      </c>
      <c r="AX64" s="338"/>
      <c r="AY64" s="49">
        <f>AVERAGE(AA64,AM64)</f>
        <v>4648</v>
      </c>
      <c r="AZ64" s="49">
        <f>AVERAGE(AB64,AN64)</f>
        <v>4510.5</v>
      </c>
      <c r="BA64" s="49"/>
      <c r="BB64" s="339">
        <f t="shared" si="21"/>
        <v>205136</v>
      </c>
      <c r="BC64" s="340">
        <f t="shared" si="20"/>
        <v>34189.333333333336</v>
      </c>
      <c r="BD64" s="62">
        <f t="shared" si="3"/>
        <v>27750.5</v>
      </c>
      <c r="BE64" s="34">
        <v>1913</v>
      </c>
      <c r="BF64" s="56"/>
    </row>
    <row r="65" spans="1:58" s="101" customFormat="1">
      <c r="A65" s="240" t="s">
        <v>331</v>
      </c>
      <c r="B65" s="241" t="s">
        <v>35</v>
      </c>
      <c r="C65" s="241" t="s">
        <v>165</v>
      </c>
      <c r="D65" s="246" t="s">
        <v>166</v>
      </c>
      <c r="E65" s="247" t="s">
        <v>198</v>
      </c>
      <c r="F65" s="331">
        <v>1273300</v>
      </c>
      <c r="G65" s="241" t="s">
        <v>39</v>
      </c>
      <c r="H65" s="241" t="s">
        <v>47</v>
      </c>
      <c r="I65" s="241">
        <v>10</v>
      </c>
      <c r="J65" s="241">
        <v>160</v>
      </c>
      <c r="K65" s="241">
        <f t="shared" si="0"/>
        <v>1600</v>
      </c>
      <c r="L65" s="245" t="s">
        <v>48</v>
      </c>
      <c r="M65" s="245" t="s">
        <v>42</v>
      </c>
      <c r="N65" s="262" t="s">
        <v>43</v>
      </c>
      <c r="O65" s="241" t="s">
        <v>49</v>
      </c>
      <c r="P65" s="243" t="s">
        <v>50</v>
      </c>
      <c r="Q65" s="241" t="s">
        <v>51</v>
      </c>
      <c r="R65" s="248"/>
      <c r="S65" s="249"/>
      <c r="T65" s="250"/>
      <c r="U65" s="249"/>
      <c r="V65" s="249"/>
      <c r="W65" s="249"/>
      <c r="X65" s="248"/>
      <c r="Y65" s="249"/>
      <c r="Z65" s="250"/>
      <c r="AA65" s="249"/>
      <c r="AB65" s="249"/>
      <c r="AC65" s="249"/>
      <c r="AD65" s="248"/>
      <c r="AE65" s="249"/>
      <c r="AF65" s="250"/>
      <c r="AG65" s="249"/>
      <c r="AH65" s="249"/>
      <c r="AI65" s="249"/>
      <c r="AJ65" s="248">
        <f t="shared" si="18"/>
        <v>0</v>
      </c>
      <c r="AK65" s="249">
        <f t="shared" si="18"/>
        <v>0</v>
      </c>
      <c r="AL65" s="250">
        <f t="shared" si="18"/>
        <v>0</v>
      </c>
      <c r="AM65" s="249"/>
      <c r="AN65" s="249"/>
      <c r="AO65" s="249"/>
      <c r="AP65" s="248">
        <v>29069</v>
      </c>
      <c r="AQ65" s="249">
        <v>25449</v>
      </c>
      <c r="AR65" s="250">
        <v>27332</v>
      </c>
      <c r="AS65" s="249">
        <v>10201</v>
      </c>
      <c r="AT65" s="249">
        <v>9022</v>
      </c>
      <c r="AU65" s="249">
        <v>8624</v>
      </c>
      <c r="AV65" s="332">
        <f>AP65+AS65</f>
        <v>39270</v>
      </c>
      <c r="AW65" s="251">
        <f>AQ65+AT65</f>
        <v>34471</v>
      </c>
      <c r="AX65" s="333">
        <f>AR65+AU65</f>
        <v>35956</v>
      </c>
      <c r="AY65" s="249">
        <f>1188+4356+1149</f>
        <v>6693</v>
      </c>
      <c r="AZ65" s="249">
        <f>1141+4167+1105</f>
        <v>6413</v>
      </c>
      <c r="BA65" s="249">
        <f>1145+4195+1141</f>
        <v>6481</v>
      </c>
      <c r="BB65" s="334">
        <f t="shared" si="21"/>
        <v>266777</v>
      </c>
      <c r="BC65" s="335">
        <f t="shared" si="20"/>
        <v>38111</v>
      </c>
      <c r="BD65" s="253">
        <f t="shared" si="3"/>
        <v>46359</v>
      </c>
      <c r="BE65" s="241">
        <v>1988</v>
      </c>
    </row>
    <row r="66" spans="1:58" s="101" customFormat="1">
      <c r="A66" s="57" t="s">
        <v>202</v>
      </c>
      <c r="B66" s="34" t="s">
        <v>35</v>
      </c>
      <c r="C66" s="34" t="s">
        <v>165</v>
      </c>
      <c r="D66" s="59" t="s">
        <v>166</v>
      </c>
      <c r="E66" s="39" t="s">
        <v>198</v>
      </c>
      <c r="F66" s="237">
        <v>1273300</v>
      </c>
      <c r="G66" s="34" t="s">
        <v>39</v>
      </c>
      <c r="H66" s="34" t="s">
        <v>47</v>
      </c>
      <c r="I66" s="34">
        <v>6</v>
      </c>
      <c r="J66" s="34">
        <v>175</v>
      </c>
      <c r="K66" s="34">
        <f t="shared" si="0"/>
        <v>1050</v>
      </c>
      <c r="L66" s="34"/>
      <c r="M66" s="34" t="s">
        <v>53</v>
      </c>
      <c r="N66" s="64" t="s">
        <v>43</v>
      </c>
      <c r="O66" s="34" t="s">
        <v>54</v>
      </c>
      <c r="P66" s="58" t="s">
        <v>55</v>
      </c>
      <c r="Q66" s="34" t="s">
        <v>51</v>
      </c>
      <c r="R66" s="35"/>
      <c r="S66" s="34"/>
      <c r="T66" s="64"/>
      <c r="U66" s="34"/>
      <c r="V66" s="34"/>
      <c r="W66" s="34"/>
      <c r="X66" s="35"/>
      <c r="Y66" s="34"/>
      <c r="Z66" s="64"/>
      <c r="AA66" s="34"/>
      <c r="AB66" s="34"/>
      <c r="AC66" s="34"/>
      <c r="AD66" s="35"/>
      <c r="AE66" s="34"/>
      <c r="AF66" s="64"/>
      <c r="AG66" s="34"/>
      <c r="AH66" s="34"/>
      <c r="AI66" s="34"/>
      <c r="AJ66" s="35"/>
      <c r="AK66" s="34"/>
      <c r="AL66" s="64"/>
      <c r="AM66" s="34"/>
      <c r="AN66" s="34"/>
      <c r="AO66" s="34"/>
      <c r="AP66" s="35"/>
      <c r="AQ66" s="34"/>
      <c r="AR66" s="64"/>
      <c r="AS66" s="49">
        <f>((47388*4)+49099)/5</f>
        <v>47730.2</v>
      </c>
      <c r="AT66" s="49"/>
      <c r="AU66" s="49"/>
      <c r="AV66" s="337">
        <f t="shared" ref="AV66:AW76" si="23">AP66+AS66</f>
        <v>47730.2</v>
      </c>
      <c r="AW66" s="53"/>
      <c r="AX66" s="338"/>
      <c r="AY66" s="34"/>
      <c r="AZ66" s="34"/>
      <c r="BA66" s="34"/>
      <c r="BB66" s="339">
        <f t="shared" si="21"/>
        <v>238651</v>
      </c>
      <c r="BC66" s="340">
        <f t="shared" si="20"/>
        <v>47730.2</v>
      </c>
      <c r="BD66" s="62">
        <f t="shared" si="3"/>
        <v>0</v>
      </c>
      <c r="BE66" s="66">
        <v>2005</v>
      </c>
      <c r="BF66" s="56"/>
    </row>
    <row r="67" spans="1:58" s="254" customFormat="1">
      <c r="A67" s="357" t="s">
        <v>332</v>
      </c>
      <c r="B67" s="241" t="s">
        <v>35</v>
      </c>
      <c r="C67" s="241" t="s">
        <v>165</v>
      </c>
      <c r="D67" s="246" t="s">
        <v>166</v>
      </c>
      <c r="E67" s="247" t="s">
        <v>204</v>
      </c>
      <c r="F67" s="331">
        <v>32092</v>
      </c>
      <c r="G67" s="241" t="s">
        <v>82</v>
      </c>
      <c r="H67" s="241" t="s">
        <v>40</v>
      </c>
      <c r="I67" s="241">
        <v>10</v>
      </c>
      <c r="J67" s="241">
        <v>301</v>
      </c>
      <c r="K67" s="241">
        <f t="shared" si="0"/>
        <v>3010</v>
      </c>
      <c r="L67" s="245"/>
      <c r="M67" s="245" t="s">
        <v>42</v>
      </c>
      <c r="N67" s="262" t="s">
        <v>64</v>
      </c>
      <c r="O67" s="241" t="s">
        <v>44</v>
      </c>
      <c r="P67" s="243" t="s">
        <v>50</v>
      </c>
      <c r="Q67" s="241" t="s">
        <v>114</v>
      </c>
      <c r="R67" s="248"/>
      <c r="S67" s="249"/>
      <c r="T67" s="250"/>
      <c r="U67" s="249"/>
      <c r="V67" s="249"/>
      <c r="W67" s="249"/>
      <c r="X67" s="248"/>
      <c r="Y67" s="249"/>
      <c r="Z67" s="250"/>
      <c r="AA67" s="249"/>
      <c r="AB67" s="249"/>
      <c r="AC67" s="249"/>
      <c r="AD67" s="248"/>
      <c r="AE67" s="249"/>
      <c r="AF67" s="250"/>
      <c r="AG67" s="249"/>
      <c r="AH67" s="249"/>
      <c r="AI67" s="249"/>
      <c r="AJ67" s="248">
        <f t="shared" ref="AJ67:AL80" si="24">AD67+AG67</f>
        <v>0</v>
      </c>
      <c r="AK67" s="249">
        <f t="shared" si="24"/>
        <v>0</v>
      </c>
      <c r="AL67" s="250">
        <f t="shared" si="24"/>
        <v>0</v>
      </c>
      <c r="AM67" s="249"/>
      <c r="AN67" s="249"/>
      <c r="AO67" s="249"/>
      <c r="AP67" s="248">
        <v>8983</v>
      </c>
      <c r="AQ67" s="249">
        <v>8973</v>
      </c>
      <c r="AR67" s="250"/>
      <c r="AS67" s="249">
        <v>37</v>
      </c>
      <c r="AT67" s="249">
        <v>109</v>
      </c>
      <c r="AU67" s="358">
        <v>30275</v>
      </c>
      <c r="AV67" s="332">
        <f t="shared" si="23"/>
        <v>9020</v>
      </c>
      <c r="AW67" s="251">
        <f>AQ67+AT67</f>
        <v>9082</v>
      </c>
      <c r="AX67" s="359">
        <f>AR67+AU67</f>
        <v>30275</v>
      </c>
      <c r="AY67" s="249"/>
      <c r="AZ67" s="249"/>
      <c r="BA67" s="249"/>
      <c r="BB67" s="334">
        <f>(AV67*5)+AW67+AX67</f>
        <v>84457</v>
      </c>
      <c r="BC67" s="335">
        <f t="shared" ref="BC67:BC72" si="25">IF($O67="M-Sa",(BB67/6),IF($O67="m-su",(BB67/7),IF($O67="M-F",(BB67/5),IF($O67="T-Su",(BB67/6),IF($O67="T-Sa",(BB67/5),IF($O67="T-F",(BB67/4),IF($O67="Su-F",(BB67/6),(BB67/7))))))))</f>
        <v>14076.166666666666</v>
      </c>
      <c r="BD67" s="253">
        <f t="shared" si="3"/>
        <v>0</v>
      </c>
      <c r="BE67" s="241">
        <v>1853</v>
      </c>
      <c r="BF67" s="101"/>
    </row>
    <row r="68" spans="1:58" s="254" customFormat="1">
      <c r="A68" s="240" t="s">
        <v>343</v>
      </c>
      <c r="B68" s="241" t="s">
        <v>35</v>
      </c>
      <c r="C68" s="241" t="s">
        <v>165</v>
      </c>
      <c r="D68" s="246" t="s">
        <v>166</v>
      </c>
      <c r="E68" s="247" t="s">
        <v>205</v>
      </c>
      <c r="F68" s="331">
        <v>24017</v>
      </c>
      <c r="G68" s="241" t="s">
        <v>82</v>
      </c>
      <c r="H68" s="241" t="s">
        <v>40</v>
      </c>
      <c r="I68" s="241">
        <v>10</v>
      </c>
      <c r="J68" s="241">
        <v>301</v>
      </c>
      <c r="K68" s="241">
        <f t="shared" ref="K68:K107" si="26">I68*J68</f>
        <v>3010</v>
      </c>
      <c r="L68" s="245"/>
      <c r="M68" s="245" t="s">
        <v>42</v>
      </c>
      <c r="N68" s="262" t="s">
        <v>64</v>
      </c>
      <c r="O68" s="241" t="s">
        <v>171</v>
      </c>
      <c r="P68" s="243" t="s">
        <v>50</v>
      </c>
      <c r="Q68" s="241" t="s">
        <v>51</v>
      </c>
      <c r="R68" s="248"/>
      <c r="S68" s="249"/>
      <c r="T68" s="250"/>
      <c r="U68" s="249"/>
      <c r="V68" s="249"/>
      <c r="W68" s="249"/>
      <c r="X68" s="248"/>
      <c r="Y68" s="249"/>
      <c r="Z68" s="250"/>
      <c r="AA68" s="249"/>
      <c r="AB68" s="249"/>
      <c r="AC68" s="249"/>
      <c r="AD68" s="248"/>
      <c r="AE68" s="249"/>
      <c r="AF68" s="250"/>
      <c r="AG68" s="249"/>
      <c r="AH68" s="249"/>
      <c r="AI68" s="249"/>
      <c r="AJ68" s="248">
        <f t="shared" si="24"/>
        <v>0</v>
      </c>
      <c r="AK68" s="249">
        <f t="shared" si="24"/>
        <v>0</v>
      </c>
      <c r="AL68" s="250">
        <f t="shared" si="24"/>
        <v>0</v>
      </c>
      <c r="AM68" s="249"/>
      <c r="AN68" s="249"/>
      <c r="AO68" s="249"/>
      <c r="AP68" s="248">
        <v>3331</v>
      </c>
      <c r="AQ68" s="249">
        <v>3331</v>
      </c>
      <c r="AR68" s="250"/>
      <c r="AS68" s="249"/>
      <c r="AT68" s="249"/>
      <c r="AU68" s="249"/>
      <c r="AV68" s="332">
        <f t="shared" si="23"/>
        <v>3331</v>
      </c>
      <c r="AW68" s="251">
        <f t="shared" si="23"/>
        <v>3331</v>
      </c>
      <c r="AX68" s="333"/>
      <c r="AY68" s="249"/>
      <c r="AZ68" s="249"/>
      <c r="BA68" s="249"/>
      <c r="BB68" s="334">
        <f>IF($O68="M-Sa",(AV68*5)+AW68+AX68,IF($O68="m-su",(AV68*5)+AW68+AX68,IF($O68="M-F",(AV68*5),IF($O68="T-Su",(AV68*4)+AW68+AX68,IF($O68="T-Sa",(AV68*4)+AW68,IF($O68="T-F",(AV68*4),IF($O68="Su-F",(AV68*5)+AW68+AX68,(AV68*5+AW68+AX68))))))))</f>
        <v>16655</v>
      </c>
      <c r="BC68" s="335">
        <f t="shared" si="25"/>
        <v>3331</v>
      </c>
      <c r="BD68" s="253">
        <f t="shared" ref="BD68:BD107" si="27">IF($O68="M-Sa",(AY68*5)+AZ68+BA68,IF($O68="m-su",(AY68*5)+AZ68+BA68,IF($O68="M-F",(AY68*5),IF($O68="T-Su",(AY68*4)+AZ68+BA68,IF($O68="T-Sa",(AY68*4)+AZ68,IF($O68="T-F",(AY68*4),IF($O68="Su-F",(AY68*5)+AZ68+BA68,(AY68*5+AZ68+BA68))))))))</f>
        <v>0</v>
      </c>
      <c r="BE68" s="241">
        <v>1855</v>
      </c>
      <c r="BF68" s="101"/>
    </row>
    <row r="69" spans="1:58" s="101" customFormat="1">
      <c r="A69" s="240" t="s">
        <v>333</v>
      </c>
      <c r="B69" s="241" t="s">
        <v>35</v>
      </c>
      <c r="C69" s="241" t="s">
        <v>165</v>
      </c>
      <c r="D69" s="246" t="s">
        <v>166</v>
      </c>
      <c r="E69" s="247" t="s">
        <v>207</v>
      </c>
      <c r="F69" s="331">
        <v>122400</v>
      </c>
      <c r="G69" s="241" t="s">
        <v>68</v>
      </c>
      <c r="H69" s="241" t="s">
        <v>40</v>
      </c>
      <c r="I69" s="241">
        <v>10</v>
      </c>
      <c r="J69" s="241">
        <v>287</v>
      </c>
      <c r="K69" s="241">
        <f t="shared" si="26"/>
        <v>2870</v>
      </c>
      <c r="L69" s="245"/>
      <c r="M69" s="245" t="s">
        <v>42</v>
      </c>
      <c r="N69" s="262" t="s">
        <v>64</v>
      </c>
      <c r="O69" s="241" t="s">
        <v>44</v>
      </c>
      <c r="P69" s="243" t="s">
        <v>50</v>
      </c>
      <c r="Q69" s="241" t="s">
        <v>51</v>
      </c>
      <c r="R69" s="248"/>
      <c r="S69" s="249"/>
      <c r="T69" s="250"/>
      <c r="U69" s="249"/>
      <c r="V69" s="249"/>
      <c r="W69" s="249"/>
      <c r="X69" s="248"/>
      <c r="Y69" s="249"/>
      <c r="Z69" s="250"/>
      <c r="AA69" s="249"/>
      <c r="AB69" s="249"/>
      <c r="AC69" s="249"/>
      <c r="AD69" s="248"/>
      <c r="AE69" s="249"/>
      <c r="AF69" s="250"/>
      <c r="AG69" s="249"/>
      <c r="AH69" s="249"/>
      <c r="AI69" s="249"/>
      <c r="AJ69" s="248">
        <f t="shared" si="24"/>
        <v>0</v>
      </c>
      <c r="AK69" s="249">
        <f t="shared" si="24"/>
        <v>0</v>
      </c>
      <c r="AL69" s="250">
        <f t="shared" si="24"/>
        <v>0</v>
      </c>
      <c r="AM69" s="249"/>
      <c r="AN69" s="249"/>
      <c r="AO69" s="249"/>
      <c r="AP69" s="248">
        <v>9653</v>
      </c>
      <c r="AQ69" s="249">
        <v>9941</v>
      </c>
      <c r="AR69" s="250"/>
      <c r="AS69" s="249">
        <v>6667</v>
      </c>
      <c r="AT69" s="249">
        <v>760</v>
      </c>
      <c r="AU69" s="249"/>
      <c r="AV69" s="332">
        <f t="shared" si="23"/>
        <v>16320</v>
      </c>
      <c r="AW69" s="251">
        <f t="shared" si="23"/>
        <v>10701</v>
      </c>
      <c r="AX69" s="333"/>
      <c r="AY69" s="249">
        <f>370+219+114</f>
        <v>703</v>
      </c>
      <c r="AZ69" s="249">
        <f>370+219+113</f>
        <v>702</v>
      </c>
      <c r="BA69" s="249"/>
      <c r="BB69" s="334">
        <f>IF($O69="M-Sa",(AV69*5)+AW69+AX69,IF($O69="m-su",(AV69*5)+AW69+AX69,IF($O69="M-F",(AV69*5),IF($O69="T-Su",(AV69*4)+AW69+AX69,IF($O69="T-Sa",(AV69*4)+AW69,IF($O69="T-F",(AV69*4),IF($O69="Su-F",(AV69*5)+AW69+AX69,(AV69*5+AW69+AX69))))))))</f>
        <v>92301</v>
      </c>
      <c r="BC69" s="335">
        <f t="shared" si="25"/>
        <v>15383.5</v>
      </c>
      <c r="BD69" s="253">
        <f t="shared" si="27"/>
        <v>4217</v>
      </c>
      <c r="BE69" s="241">
        <v>1847</v>
      </c>
    </row>
    <row r="70" spans="1:58" s="101" customFormat="1">
      <c r="A70" s="240" t="s">
        <v>334</v>
      </c>
      <c r="B70" s="241" t="s">
        <v>35</v>
      </c>
      <c r="C70" s="241" t="s">
        <v>165</v>
      </c>
      <c r="D70" s="246" t="s">
        <v>166</v>
      </c>
      <c r="E70" s="247" t="s">
        <v>208</v>
      </c>
      <c r="F70" s="331">
        <v>89555</v>
      </c>
      <c r="G70" s="241" t="s">
        <v>63</v>
      </c>
      <c r="H70" s="241" t="s">
        <v>40</v>
      </c>
      <c r="I70" s="241">
        <v>10</v>
      </c>
      <c r="J70" s="241">
        <v>301</v>
      </c>
      <c r="K70" s="241">
        <f t="shared" si="26"/>
        <v>3010</v>
      </c>
      <c r="L70" s="245"/>
      <c r="M70" s="245" t="s">
        <v>42</v>
      </c>
      <c r="N70" s="262" t="s">
        <v>64</v>
      </c>
      <c r="O70" s="241" t="s">
        <v>44</v>
      </c>
      <c r="P70" s="243" t="s">
        <v>50</v>
      </c>
      <c r="Q70" s="241" t="s">
        <v>51</v>
      </c>
      <c r="R70" s="248"/>
      <c r="S70" s="249"/>
      <c r="T70" s="250"/>
      <c r="U70" s="249"/>
      <c r="V70" s="249"/>
      <c r="W70" s="249"/>
      <c r="X70" s="248"/>
      <c r="Y70" s="249"/>
      <c r="Z70" s="250"/>
      <c r="AA70" s="249"/>
      <c r="AB70" s="249"/>
      <c r="AC70" s="249"/>
      <c r="AD70" s="248"/>
      <c r="AE70" s="249"/>
      <c r="AF70" s="250"/>
      <c r="AG70" s="249"/>
      <c r="AH70" s="249"/>
      <c r="AI70" s="249"/>
      <c r="AJ70" s="248">
        <f t="shared" si="24"/>
        <v>0</v>
      </c>
      <c r="AK70" s="249">
        <f t="shared" si="24"/>
        <v>0</v>
      </c>
      <c r="AL70" s="250">
        <f t="shared" si="24"/>
        <v>0</v>
      </c>
      <c r="AM70" s="249"/>
      <c r="AN70" s="249"/>
      <c r="AO70" s="249"/>
      <c r="AP70" s="248">
        <v>9067</v>
      </c>
      <c r="AQ70" s="249">
        <v>9907</v>
      </c>
      <c r="AR70" s="250"/>
      <c r="AS70" s="249">
        <v>111</v>
      </c>
      <c r="AT70" s="249">
        <v>107</v>
      </c>
      <c r="AU70" s="249"/>
      <c r="AV70" s="332">
        <f t="shared" si="23"/>
        <v>9178</v>
      </c>
      <c r="AW70" s="251">
        <f t="shared" si="23"/>
        <v>10014</v>
      </c>
      <c r="AX70" s="333"/>
      <c r="AY70" s="249">
        <f>346+45</f>
        <v>391</v>
      </c>
      <c r="AZ70" s="249">
        <f>333+43</f>
        <v>376</v>
      </c>
      <c r="BA70" s="249"/>
      <c r="BB70" s="334">
        <f>IF($O70="M-Sa",(AV70*5)+AW70+AX70,IF($O70="m-su",(AV70*5)+AW70+AX70,IF($O70="M-F",(AV70*5),IF($O70="T-Su",(AV70*4)+AW70+AX70,IF($O70="T-Sa",(AV70*4)+AW70,IF($O70="T-F",(AV70*4),IF($O70="Su-F",(AV70*5)+AW70+AX70,(AV70*5+AW70+AX70))))))))</f>
        <v>55904</v>
      </c>
      <c r="BC70" s="335">
        <f t="shared" si="25"/>
        <v>9317.3333333333339</v>
      </c>
      <c r="BD70" s="253">
        <f t="shared" si="27"/>
        <v>2331</v>
      </c>
      <c r="BE70" s="241">
        <v>1917</v>
      </c>
    </row>
    <row r="71" spans="1:58" s="101" customFormat="1">
      <c r="A71" s="240" t="s">
        <v>335</v>
      </c>
      <c r="B71" s="241" t="s">
        <v>35</v>
      </c>
      <c r="C71" s="241" t="s">
        <v>165</v>
      </c>
      <c r="D71" s="246" t="s">
        <v>166</v>
      </c>
      <c r="E71" s="247" t="s">
        <v>209</v>
      </c>
      <c r="F71" s="331">
        <v>79800</v>
      </c>
      <c r="G71" s="241" t="s">
        <v>63</v>
      </c>
      <c r="H71" s="241" t="s">
        <v>40</v>
      </c>
      <c r="I71" s="241">
        <v>10</v>
      </c>
      <c r="J71" s="241">
        <v>301</v>
      </c>
      <c r="K71" s="241">
        <f t="shared" si="26"/>
        <v>3010</v>
      </c>
      <c r="L71" s="245"/>
      <c r="M71" s="245" t="s">
        <v>42</v>
      </c>
      <c r="N71" s="262" t="s">
        <v>64</v>
      </c>
      <c r="O71" s="241" t="s">
        <v>44</v>
      </c>
      <c r="P71" s="243" t="s">
        <v>50</v>
      </c>
      <c r="Q71" s="241" t="s">
        <v>51</v>
      </c>
      <c r="R71" s="248"/>
      <c r="S71" s="249"/>
      <c r="T71" s="250"/>
      <c r="U71" s="249"/>
      <c r="V71" s="249"/>
      <c r="W71" s="249"/>
      <c r="X71" s="248"/>
      <c r="Y71" s="249"/>
      <c r="Z71" s="250"/>
      <c r="AA71" s="249"/>
      <c r="AB71" s="249"/>
      <c r="AC71" s="249"/>
      <c r="AD71" s="248"/>
      <c r="AE71" s="249"/>
      <c r="AF71" s="250"/>
      <c r="AG71" s="249"/>
      <c r="AH71" s="249"/>
      <c r="AI71" s="249"/>
      <c r="AJ71" s="248">
        <f t="shared" si="24"/>
        <v>0</v>
      </c>
      <c r="AK71" s="249">
        <f t="shared" si="24"/>
        <v>0</v>
      </c>
      <c r="AL71" s="250">
        <f t="shared" si="24"/>
        <v>0</v>
      </c>
      <c r="AM71" s="249"/>
      <c r="AN71" s="249"/>
      <c r="AO71" s="249"/>
      <c r="AP71" s="248">
        <v>9550</v>
      </c>
      <c r="AQ71" s="249">
        <v>9629</v>
      </c>
      <c r="AR71" s="250"/>
      <c r="AS71" s="249">
        <v>321</v>
      </c>
      <c r="AT71" s="249">
        <v>696</v>
      </c>
      <c r="AU71" s="249"/>
      <c r="AV71" s="332">
        <f t="shared" si="23"/>
        <v>9871</v>
      </c>
      <c r="AW71" s="251">
        <f t="shared" si="23"/>
        <v>10325</v>
      </c>
      <c r="AX71" s="333"/>
      <c r="AY71" s="249">
        <f>162+86+59</f>
        <v>307</v>
      </c>
      <c r="AZ71" s="249">
        <f>159+83+56</f>
        <v>298</v>
      </c>
      <c r="BA71" s="249"/>
      <c r="BB71" s="334">
        <f>IF($O71="M-Sa",(AV71*5)+AW71+AX71,IF($O71="m-su",(AV71*5)+AW71+AX71,IF($O71="M-F",(AV71*5),IF($O71="T-Su",(AV71*4)+AW71+AX71,IF($O71="T-Sa",(AV71*4)+AW71,IF($O71="T-F",(AV71*4),IF($O71="Su-F",(AV71*5)+AW71+AX71,(AV71*5+AW71+AX71))))))))</f>
        <v>59680</v>
      </c>
      <c r="BC71" s="335">
        <f t="shared" si="25"/>
        <v>9946.6666666666661</v>
      </c>
      <c r="BD71" s="253">
        <f t="shared" si="27"/>
        <v>1833</v>
      </c>
      <c r="BE71" s="241">
        <v>1912</v>
      </c>
    </row>
    <row r="72" spans="1:58" s="101" customFormat="1">
      <c r="A72" s="357" t="s">
        <v>336</v>
      </c>
      <c r="B72" s="241" t="s">
        <v>35</v>
      </c>
      <c r="C72" s="241" t="s">
        <v>165</v>
      </c>
      <c r="D72" s="246" t="s">
        <v>166</v>
      </c>
      <c r="E72" s="247" t="s">
        <v>210</v>
      </c>
      <c r="F72" s="331">
        <v>14777</v>
      </c>
      <c r="G72" s="241" t="s">
        <v>82</v>
      </c>
      <c r="H72" s="241" t="s">
        <v>40</v>
      </c>
      <c r="I72" s="241">
        <v>10</v>
      </c>
      <c r="J72" s="241">
        <v>301</v>
      </c>
      <c r="K72" s="241">
        <f t="shared" si="26"/>
        <v>3010</v>
      </c>
      <c r="L72" s="245"/>
      <c r="M72" s="245" t="s">
        <v>42</v>
      </c>
      <c r="N72" s="262" t="s">
        <v>64</v>
      </c>
      <c r="O72" s="241" t="s">
        <v>171</v>
      </c>
      <c r="P72" s="243" t="s">
        <v>50</v>
      </c>
      <c r="Q72" s="241" t="s">
        <v>114</v>
      </c>
      <c r="R72" s="248"/>
      <c r="S72" s="249"/>
      <c r="T72" s="250"/>
      <c r="U72" s="249"/>
      <c r="V72" s="249"/>
      <c r="W72" s="249"/>
      <c r="X72" s="248"/>
      <c r="Y72" s="249"/>
      <c r="Z72" s="250"/>
      <c r="AA72" s="249"/>
      <c r="AB72" s="249"/>
      <c r="AC72" s="249"/>
      <c r="AD72" s="248"/>
      <c r="AE72" s="249"/>
      <c r="AF72" s="250"/>
      <c r="AG72" s="249"/>
      <c r="AH72" s="249"/>
      <c r="AI72" s="249"/>
      <c r="AJ72" s="248">
        <f t="shared" si="24"/>
        <v>0</v>
      </c>
      <c r="AK72" s="249">
        <f t="shared" si="24"/>
        <v>0</v>
      </c>
      <c r="AL72" s="250">
        <f t="shared" si="24"/>
        <v>0</v>
      </c>
      <c r="AM72" s="249"/>
      <c r="AN72" s="249"/>
      <c r="AO72" s="249"/>
      <c r="AP72" s="248">
        <v>4400</v>
      </c>
      <c r="AQ72" s="249">
        <v>4400</v>
      </c>
      <c r="AR72" s="250"/>
      <c r="AS72" s="249"/>
      <c r="AT72" s="249"/>
      <c r="AU72" s="358">
        <v>25341</v>
      </c>
      <c r="AV72" s="332">
        <f t="shared" si="23"/>
        <v>4400</v>
      </c>
      <c r="AW72" s="251">
        <f t="shared" si="23"/>
        <v>4400</v>
      </c>
      <c r="AX72" s="359">
        <f>AR72+AU72</f>
        <v>25341</v>
      </c>
      <c r="AY72" s="249">
        <v>116</v>
      </c>
      <c r="AZ72" s="249">
        <v>116</v>
      </c>
      <c r="BA72" s="249"/>
      <c r="BB72" s="334">
        <f>(AV72*4)+AW72+AX72</f>
        <v>47341</v>
      </c>
      <c r="BC72" s="335">
        <f t="shared" si="25"/>
        <v>9468.2000000000007</v>
      </c>
      <c r="BD72" s="253">
        <f t="shared" si="27"/>
        <v>580</v>
      </c>
      <c r="BE72" s="241">
        <v>1858</v>
      </c>
    </row>
    <row r="73" spans="1:58" s="101" customFormat="1" ht="14.25" customHeight="1">
      <c r="A73" s="240" t="s">
        <v>337</v>
      </c>
      <c r="B73" s="241" t="s">
        <v>35</v>
      </c>
      <c r="C73" s="241" t="s">
        <v>165</v>
      </c>
      <c r="D73" s="246" t="s">
        <v>166</v>
      </c>
      <c r="E73" s="247" t="s">
        <v>211</v>
      </c>
      <c r="F73" s="331">
        <v>405800</v>
      </c>
      <c r="G73" s="241" t="s">
        <v>68</v>
      </c>
      <c r="H73" s="241" t="s">
        <v>40</v>
      </c>
      <c r="I73" s="241">
        <v>10</v>
      </c>
      <c r="J73" s="241">
        <v>301</v>
      </c>
      <c r="K73" s="241">
        <f t="shared" si="26"/>
        <v>3010</v>
      </c>
      <c r="L73" s="245"/>
      <c r="M73" s="245" t="s">
        <v>42</v>
      </c>
      <c r="N73" s="262" t="s">
        <v>64</v>
      </c>
      <c r="O73" s="241" t="s">
        <v>44</v>
      </c>
      <c r="P73" s="243" t="s">
        <v>50</v>
      </c>
      <c r="Q73" s="241" t="s">
        <v>51</v>
      </c>
      <c r="R73" s="248"/>
      <c r="S73" s="249"/>
      <c r="T73" s="250"/>
      <c r="U73" s="249"/>
      <c r="V73" s="249"/>
      <c r="W73" s="249"/>
      <c r="X73" s="248"/>
      <c r="Y73" s="249"/>
      <c r="Z73" s="250"/>
      <c r="AA73" s="249"/>
      <c r="AB73" s="249"/>
      <c r="AC73" s="249"/>
      <c r="AD73" s="248"/>
      <c r="AE73" s="249"/>
      <c r="AF73" s="250"/>
      <c r="AG73" s="249"/>
      <c r="AH73" s="249"/>
      <c r="AI73" s="249"/>
      <c r="AJ73" s="248">
        <f t="shared" si="24"/>
        <v>0</v>
      </c>
      <c r="AK73" s="249">
        <f t="shared" si="24"/>
        <v>0</v>
      </c>
      <c r="AL73" s="250">
        <f t="shared" si="24"/>
        <v>0</v>
      </c>
      <c r="AM73" s="249"/>
      <c r="AN73" s="249"/>
      <c r="AO73" s="249"/>
      <c r="AP73" s="248">
        <v>13344</v>
      </c>
      <c r="AQ73" s="249">
        <v>14485</v>
      </c>
      <c r="AR73" s="250"/>
      <c r="AS73" s="249">
        <v>11388</v>
      </c>
      <c r="AT73" s="249">
        <v>816</v>
      </c>
      <c r="AU73" s="249"/>
      <c r="AV73" s="332">
        <f t="shared" si="23"/>
        <v>24732</v>
      </c>
      <c r="AW73" s="251">
        <f t="shared" si="23"/>
        <v>15301</v>
      </c>
      <c r="AX73" s="333"/>
      <c r="AY73" s="249">
        <f>401+466+154</f>
        <v>1021</v>
      </c>
      <c r="AZ73" s="249">
        <f>401+458+153</f>
        <v>1012</v>
      </c>
      <c r="BA73" s="249"/>
      <c r="BB73" s="334">
        <f t="shared" ref="BB73:BB107" si="28">IF($O73="M-Sa",(AV73*5)+AW73+AX73,IF($O73="m-su",(AV73*5)+AW73+AX73,IF($O73="M-F",(AV73*5),IF($O73="T-Su",(AV73*4)+AW73+AX73,IF($O73="T-Sa",(AV73*4)+AW73,IF($O73="T-F",(AV73*4),IF($O73="Su-F",(AV73*5)+AW73+AX73,(AV73*5+AW73+AX73))))))))</f>
        <v>138961</v>
      </c>
      <c r="BC73" s="335">
        <f t="shared" ref="BC73:BC107" si="29">IF($O73="M-Sa",(BB73/6),IF($O73="m-su",(BB73/7),IF($O73="M-F",(BB73/5),IF($O73="T-Su",(BB73/6),IF($O73="T-Sa",(BB73/5),IF($O73="T-F",(BB73/4),IF($O73="Su-F",(BB73/6),(BB73/7))))))))</f>
        <v>23160.166666666668</v>
      </c>
      <c r="BD73" s="253">
        <f t="shared" si="27"/>
        <v>6117</v>
      </c>
      <c r="BE73" s="241">
        <v>1891</v>
      </c>
    </row>
    <row r="74" spans="1:58" s="101" customFormat="1">
      <c r="A74" s="240" t="s">
        <v>338</v>
      </c>
      <c r="B74" s="241" t="s">
        <v>35</v>
      </c>
      <c r="C74" s="241" t="s">
        <v>165</v>
      </c>
      <c r="D74" s="246" t="s">
        <v>166</v>
      </c>
      <c r="E74" s="247" t="s">
        <v>213</v>
      </c>
      <c r="F74" s="331">
        <v>41688</v>
      </c>
      <c r="G74" s="241" t="s">
        <v>82</v>
      </c>
      <c r="H74" s="241" t="s">
        <v>47</v>
      </c>
      <c r="I74" s="241">
        <v>9</v>
      </c>
      <c r="J74" s="241">
        <v>160</v>
      </c>
      <c r="K74" s="241">
        <f t="shared" si="26"/>
        <v>1440</v>
      </c>
      <c r="L74" s="245"/>
      <c r="M74" s="245" t="s">
        <v>42</v>
      </c>
      <c r="N74" s="262" t="s">
        <v>64</v>
      </c>
      <c r="O74" s="241" t="s">
        <v>171</v>
      </c>
      <c r="P74" s="243" t="s">
        <v>50</v>
      </c>
      <c r="Q74" s="241" t="s">
        <v>84</v>
      </c>
      <c r="R74" s="248"/>
      <c r="S74" s="249"/>
      <c r="T74" s="250"/>
      <c r="U74" s="249"/>
      <c r="V74" s="249"/>
      <c r="W74" s="249"/>
      <c r="X74" s="248"/>
      <c r="Y74" s="249"/>
      <c r="Z74" s="250"/>
      <c r="AA74" s="249"/>
      <c r="AB74" s="249"/>
      <c r="AC74" s="249"/>
      <c r="AD74" s="248"/>
      <c r="AE74" s="249"/>
      <c r="AF74" s="250"/>
      <c r="AG74" s="249"/>
      <c r="AH74" s="249"/>
      <c r="AI74" s="249"/>
      <c r="AJ74" s="248">
        <f t="shared" si="24"/>
        <v>0</v>
      </c>
      <c r="AK74" s="249">
        <f t="shared" si="24"/>
        <v>0</v>
      </c>
      <c r="AL74" s="250">
        <f t="shared" si="24"/>
        <v>0</v>
      </c>
      <c r="AM74" s="249"/>
      <c r="AN74" s="249"/>
      <c r="AO74" s="249"/>
      <c r="AP74" s="248">
        <v>3293</v>
      </c>
      <c r="AQ74" s="249">
        <v>3293</v>
      </c>
      <c r="AR74" s="250"/>
      <c r="AS74" s="249"/>
      <c r="AT74" s="249"/>
      <c r="AU74" s="249"/>
      <c r="AV74" s="332">
        <f t="shared" si="23"/>
        <v>3293</v>
      </c>
      <c r="AW74" s="251">
        <f t="shared" si="23"/>
        <v>3293</v>
      </c>
      <c r="AX74" s="333"/>
      <c r="AY74" s="249">
        <v>149</v>
      </c>
      <c r="AZ74" s="249"/>
      <c r="BA74" s="249"/>
      <c r="BB74" s="334">
        <f t="shared" si="28"/>
        <v>16465</v>
      </c>
      <c r="BC74" s="335">
        <f t="shared" si="29"/>
        <v>3293</v>
      </c>
      <c r="BD74" s="253">
        <f t="shared" si="27"/>
        <v>596</v>
      </c>
      <c r="BE74" s="241">
        <v>1882</v>
      </c>
    </row>
    <row r="75" spans="1:58" s="101" customFormat="1">
      <c r="A75" s="240" t="s">
        <v>339</v>
      </c>
      <c r="B75" s="241" t="s">
        <v>35</v>
      </c>
      <c r="C75" s="241" t="s">
        <v>165</v>
      </c>
      <c r="D75" s="246" t="s">
        <v>166</v>
      </c>
      <c r="E75" s="247" t="s">
        <v>214</v>
      </c>
      <c r="F75" s="331">
        <v>30886</v>
      </c>
      <c r="G75" s="241" t="s">
        <v>82</v>
      </c>
      <c r="H75" s="241" t="s">
        <v>40</v>
      </c>
      <c r="I75" s="241">
        <v>10</v>
      </c>
      <c r="J75" s="241">
        <v>300</v>
      </c>
      <c r="K75" s="241">
        <f t="shared" si="26"/>
        <v>3000</v>
      </c>
      <c r="L75" s="245"/>
      <c r="M75" s="245" t="s">
        <v>42</v>
      </c>
      <c r="N75" s="262" t="s">
        <v>64</v>
      </c>
      <c r="O75" s="241" t="s">
        <v>44</v>
      </c>
      <c r="P75" s="243" t="s">
        <v>50</v>
      </c>
      <c r="Q75" s="241" t="s">
        <v>84</v>
      </c>
      <c r="R75" s="248"/>
      <c r="S75" s="249"/>
      <c r="T75" s="250"/>
      <c r="U75" s="249"/>
      <c r="V75" s="249"/>
      <c r="W75" s="249"/>
      <c r="X75" s="248"/>
      <c r="Y75" s="249"/>
      <c r="Z75" s="250"/>
      <c r="AA75" s="249"/>
      <c r="AB75" s="249"/>
      <c r="AC75" s="249"/>
      <c r="AD75" s="248"/>
      <c r="AE75" s="249"/>
      <c r="AF75" s="250"/>
      <c r="AG75" s="249"/>
      <c r="AH75" s="249"/>
      <c r="AI75" s="249"/>
      <c r="AJ75" s="248">
        <f t="shared" si="24"/>
        <v>0</v>
      </c>
      <c r="AK75" s="249">
        <f t="shared" si="24"/>
        <v>0</v>
      </c>
      <c r="AL75" s="250">
        <f t="shared" si="24"/>
        <v>0</v>
      </c>
      <c r="AM75" s="249"/>
      <c r="AN75" s="249"/>
      <c r="AO75" s="249"/>
      <c r="AP75" s="248">
        <v>6444</v>
      </c>
      <c r="AQ75" s="249">
        <v>6444</v>
      </c>
      <c r="AR75" s="250"/>
      <c r="AS75" s="249">
        <v>236</v>
      </c>
      <c r="AT75" s="249">
        <v>236</v>
      </c>
      <c r="AU75" s="249">
        <v>0</v>
      </c>
      <c r="AV75" s="332">
        <f t="shared" si="23"/>
        <v>6680</v>
      </c>
      <c r="AW75" s="251">
        <f t="shared" si="23"/>
        <v>6680</v>
      </c>
      <c r="AX75" s="333"/>
      <c r="AY75" s="249">
        <v>236</v>
      </c>
      <c r="AZ75" s="249">
        <v>236</v>
      </c>
      <c r="BA75" s="249"/>
      <c r="BB75" s="334">
        <f t="shared" si="28"/>
        <v>40080</v>
      </c>
      <c r="BC75" s="335">
        <f t="shared" si="29"/>
        <v>6680</v>
      </c>
      <c r="BD75" s="253">
        <f t="shared" si="27"/>
        <v>1416</v>
      </c>
      <c r="BE75" s="241">
        <v>1923</v>
      </c>
    </row>
    <row r="76" spans="1:58" s="101" customFormat="1">
      <c r="A76" s="240" t="s">
        <v>340</v>
      </c>
      <c r="B76" s="241" t="s">
        <v>35</v>
      </c>
      <c r="C76" s="241" t="s">
        <v>165</v>
      </c>
      <c r="D76" s="246" t="s">
        <v>166</v>
      </c>
      <c r="E76" s="247" t="s">
        <v>216</v>
      </c>
      <c r="F76" s="331">
        <v>164000</v>
      </c>
      <c r="G76" s="241" t="s">
        <v>68</v>
      </c>
      <c r="H76" s="241" t="s">
        <v>40</v>
      </c>
      <c r="I76" s="241">
        <v>10</v>
      </c>
      <c r="J76" s="241">
        <v>301</v>
      </c>
      <c r="K76" s="241">
        <f t="shared" si="26"/>
        <v>3010</v>
      </c>
      <c r="L76" s="245"/>
      <c r="M76" s="245" t="s">
        <v>42</v>
      </c>
      <c r="N76" s="262" t="s">
        <v>64</v>
      </c>
      <c r="O76" s="241" t="s">
        <v>44</v>
      </c>
      <c r="P76" s="243" t="s">
        <v>50</v>
      </c>
      <c r="Q76" s="241" t="s">
        <v>51</v>
      </c>
      <c r="R76" s="248"/>
      <c r="S76" s="249"/>
      <c r="T76" s="250"/>
      <c r="U76" s="249"/>
      <c r="V76" s="249"/>
      <c r="W76" s="249"/>
      <c r="X76" s="248"/>
      <c r="Y76" s="249"/>
      <c r="Z76" s="250"/>
      <c r="AA76" s="249"/>
      <c r="AB76" s="249"/>
      <c r="AC76" s="249"/>
      <c r="AD76" s="248"/>
      <c r="AE76" s="249"/>
      <c r="AF76" s="250"/>
      <c r="AG76" s="249"/>
      <c r="AH76" s="249"/>
      <c r="AI76" s="249"/>
      <c r="AJ76" s="248">
        <f t="shared" si="24"/>
        <v>0</v>
      </c>
      <c r="AK76" s="249">
        <f t="shared" si="24"/>
        <v>0</v>
      </c>
      <c r="AL76" s="250">
        <f t="shared" si="24"/>
        <v>0</v>
      </c>
      <c r="AM76" s="249"/>
      <c r="AN76" s="249"/>
      <c r="AO76" s="249"/>
      <c r="AP76" s="248">
        <v>9113</v>
      </c>
      <c r="AQ76" s="249">
        <v>9852</v>
      </c>
      <c r="AR76" s="250"/>
      <c r="AS76" s="249">
        <v>338</v>
      </c>
      <c r="AT76" s="249">
        <v>328</v>
      </c>
      <c r="AU76" s="249"/>
      <c r="AV76" s="332">
        <f t="shared" si="23"/>
        <v>9451</v>
      </c>
      <c r="AW76" s="251">
        <f t="shared" si="23"/>
        <v>10180</v>
      </c>
      <c r="AX76" s="333"/>
      <c r="AY76" s="249">
        <f>361+128</f>
        <v>489</v>
      </c>
      <c r="AZ76" s="249">
        <f>347+123</f>
        <v>470</v>
      </c>
      <c r="BA76" s="249"/>
      <c r="BB76" s="334">
        <f t="shared" si="28"/>
        <v>57435</v>
      </c>
      <c r="BC76" s="335">
        <f t="shared" si="29"/>
        <v>9572.5</v>
      </c>
      <c r="BD76" s="253">
        <f t="shared" si="27"/>
        <v>2915</v>
      </c>
      <c r="BE76" s="241">
        <v>1908</v>
      </c>
    </row>
    <row r="77" spans="1:58" s="101" customFormat="1">
      <c r="A77" s="57" t="s">
        <v>217</v>
      </c>
      <c r="B77" s="34" t="s">
        <v>35</v>
      </c>
      <c r="C77" s="34" t="s">
        <v>165</v>
      </c>
      <c r="D77" s="59" t="s">
        <v>166</v>
      </c>
      <c r="E77" s="39" t="s">
        <v>218</v>
      </c>
      <c r="F77" s="237">
        <v>127100</v>
      </c>
      <c r="G77" s="34" t="s">
        <v>68</v>
      </c>
      <c r="H77" s="34" t="s">
        <v>40</v>
      </c>
      <c r="I77" s="34">
        <v>10</v>
      </c>
      <c r="J77" s="34">
        <v>301</v>
      </c>
      <c r="K77" s="34">
        <f t="shared" si="26"/>
        <v>3010</v>
      </c>
      <c r="L77" s="38"/>
      <c r="M77" s="38" t="s">
        <v>42</v>
      </c>
      <c r="N77" s="64" t="s">
        <v>43</v>
      </c>
      <c r="O77" s="34" t="s">
        <v>49</v>
      </c>
      <c r="P77" s="58" t="s">
        <v>91</v>
      </c>
      <c r="Q77" s="34" t="s">
        <v>46</v>
      </c>
      <c r="R77" s="68">
        <v>17341</v>
      </c>
      <c r="S77" s="44">
        <v>19079</v>
      </c>
      <c r="T77" s="69">
        <v>17055</v>
      </c>
      <c r="U77" s="44">
        <v>4217</v>
      </c>
      <c r="V77" s="44">
        <v>1494</v>
      </c>
      <c r="W77" s="44">
        <v>1336</v>
      </c>
      <c r="X77" s="68">
        <f>R77+U77</f>
        <v>21558</v>
      </c>
      <c r="Y77" s="44">
        <f>S77+V77</f>
        <v>20573</v>
      </c>
      <c r="Z77" s="69">
        <f>T77+W77</f>
        <v>18391</v>
      </c>
      <c r="AA77" s="44">
        <v>153</v>
      </c>
      <c r="AB77" s="44">
        <v>154</v>
      </c>
      <c r="AC77" s="44">
        <v>154</v>
      </c>
      <c r="AD77" s="70">
        <v>17094</v>
      </c>
      <c r="AE77" s="48">
        <v>18723</v>
      </c>
      <c r="AF77" s="71">
        <v>16772</v>
      </c>
      <c r="AG77" s="48">
        <v>3477</v>
      </c>
      <c r="AH77" s="48">
        <v>1204</v>
      </c>
      <c r="AI77" s="48">
        <v>1050</v>
      </c>
      <c r="AJ77" s="70">
        <f t="shared" si="24"/>
        <v>20571</v>
      </c>
      <c r="AK77" s="48">
        <f t="shared" si="24"/>
        <v>19927</v>
      </c>
      <c r="AL77" s="71">
        <f t="shared" si="24"/>
        <v>17822</v>
      </c>
      <c r="AM77" s="48">
        <v>251</v>
      </c>
      <c r="AN77" s="48">
        <v>252</v>
      </c>
      <c r="AO77" s="48">
        <v>252</v>
      </c>
      <c r="AP77" s="60">
        <f t="shared" ref="AP77:BA77" si="30">AVERAGE(R77,AD77)</f>
        <v>17217.5</v>
      </c>
      <c r="AQ77" s="49">
        <f t="shared" si="30"/>
        <v>18901</v>
      </c>
      <c r="AR77" s="61">
        <f t="shared" si="30"/>
        <v>16913.5</v>
      </c>
      <c r="AS77" s="49">
        <f t="shared" si="30"/>
        <v>3847</v>
      </c>
      <c r="AT77" s="49">
        <f t="shared" si="30"/>
        <v>1349</v>
      </c>
      <c r="AU77" s="49">
        <f t="shared" si="30"/>
        <v>1193</v>
      </c>
      <c r="AV77" s="337">
        <f t="shared" si="30"/>
        <v>21064.5</v>
      </c>
      <c r="AW77" s="53">
        <f t="shared" si="30"/>
        <v>20250</v>
      </c>
      <c r="AX77" s="338">
        <f t="shared" si="30"/>
        <v>18106.5</v>
      </c>
      <c r="AY77" s="49">
        <f t="shared" si="30"/>
        <v>202</v>
      </c>
      <c r="AZ77" s="49">
        <f t="shared" si="30"/>
        <v>203</v>
      </c>
      <c r="BA77" s="49">
        <f t="shared" si="30"/>
        <v>203</v>
      </c>
      <c r="BB77" s="339">
        <f t="shared" si="28"/>
        <v>143679</v>
      </c>
      <c r="BC77" s="340">
        <f t="shared" si="29"/>
        <v>20525.571428571428</v>
      </c>
      <c r="BD77" s="62">
        <f t="shared" si="27"/>
        <v>1416</v>
      </c>
      <c r="BE77" s="34">
        <v>1880</v>
      </c>
      <c r="BF77" s="56"/>
    </row>
    <row r="78" spans="1:58" s="101" customFormat="1">
      <c r="A78" s="240" t="s">
        <v>341</v>
      </c>
      <c r="B78" s="241" t="s">
        <v>35</v>
      </c>
      <c r="C78" s="241" t="s">
        <v>165</v>
      </c>
      <c r="D78" s="246" t="s">
        <v>166</v>
      </c>
      <c r="E78" s="247" t="s">
        <v>219</v>
      </c>
      <c r="F78" s="331">
        <v>43165</v>
      </c>
      <c r="G78" s="241" t="s">
        <v>82</v>
      </c>
      <c r="H78" s="241" t="s">
        <v>40</v>
      </c>
      <c r="I78" s="241">
        <v>10</v>
      </c>
      <c r="J78" s="241">
        <v>301</v>
      </c>
      <c r="K78" s="241">
        <f t="shared" si="26"/>
        <v>3010</v>
      </c>
      <c r="L78" s="245"/>
      <c r="M78" s="245" t="s">
        <v>42</v>
      </c>
      <c r="N78" s="262" t="s">
        <v>43</v>
      </c>
      <c r="O78" s="241" t="s">
        <v>44</v>
      </c>
      <c r="P78" s="243" t="s">
        <v>50</v>
      </c>
      <c r="Q78" s="241" t="s">
        <v>114</v>
      </c>
      <c r="R78" s="248"/>
      <c r="S78" s="249"/>
      <c r="T78" s="250"/>
      <c r="U78" s="249"/>
      <c r="V78" s="249"/>
      <c r="W78" s="249"/>
      <c r="X78" s="248"/>
      <c r="Y78" s="249"/>
      <c r="Z78" s="250"/>
      <c r="AA78" s="249"/>
      <c r="AB78" s="249"/>
      <c r="AC78" s="249"/>
      <c r="AD78" s="248"/>
      <c r="AE78" s="249"/>
      <c r="AF78" s="250"/>
      <c r="AG78" s="249"/>
      <c r="AH78" s="249"/>
      <c r="AI78" s="249"/>
      <c r="AJ78" s="248">
        <f t="shared" si="24"/>
        <v>0</v>
      </c>
      <c r="AK78" s="249">
        <f t="shared" si="24"/>
        <v>0</v>
      </c>
      <c r="AL78" s="250">
        <f t="shared" si="24"/>
        <v>0</v>
      </c>
      <c r="AM78" s="249"/>
      <c r="AN78" s="249"/>
      <c r="AO78" s="249"/>
      <c r="AP78" s="248">
        <v>7118</v>
      </c>
      <c r="AQ78" s="249">
        <v>7136</v>
      </c>
      <c r="AR78" s="250"/>
      <c r="AS78" s="249"/>
      <c r="AT78" s="249"/>
      <c r="AU78" s="249"/>
      <c r="AV78" s="332">
        <f t="shared" ref="AV78:AW80" si="31">AP78+AS78</f>
        <v>7118</v>
      </c>
      <c r="AW78" s="251">
        <f t="shared" si="31"/>
        <v>7136</v>
      </c>
      <c r="AX78" s="333"/>
      <c r="AY78" s="249"/>
      <c r="AZ78" s="249"/>
      <c r="BA78" s="249"/>
      <c r="BB78" s="334">
        <f t="shared" si="28"/>
        <v>42726</v>
      </c>
      <c r="BC78" s="335">
        <f t="shared" si="29"/>
        <v>7121</v>
      </c>
      <c r="BD78" s="253">
        <f t="shared" si="27"/>
        <v>0</v>
      </c>
      <c r="BE78" s="241">
        <v>1934</v>
      </c>
    </row>
    <row r="79" spans="1:58" s="101" customFormat="1">
      <c r="A79" s="240" t="s">
        <v>342</v>
      </c>
      <c r="B79" s="241" t="s">
        <v>35</v>
      </c>
      <c r="C79" s="241" t="s">
        <v>165</v>
      </c>
      <c r="D79" s="246" t="s">
        <v>166</v>
      </c>
      <c r="E79" s="247" t="s">
        <v>221</v>
      </c>
      <c r="F79" s="331">
        <v>5941500</v>
      </c>
      <c r="G79" s="241" t="s">
        <v>39</v>
      </c>
      <c r="H79" s="241" t="s">
        <v>47</v>
      </c>
      <c r="I79" s="241">
        <v>10</v>
      </c>
      <c r="J79" s="241">
        <v>160</v>
      </c>
      <c r="K79" s="241">
        <f t="shared" si="26"/>
        <v>1600</v>
      </c>
      <c r="L79" s="245" t="s">
        <v>48</v>
      </c>
      <c r="M79" s="245" t="s">
        <v>42</v>
      </c>
      <c r="N79" s="262" t="s">
        <v>43</v>
      </c>
      <c r="O79" s="241" t="s">
        <v>49</v>
      </c>
      <c r="P79" s="243" t="s">
        <v>50</v>
      </c>
      <c r="Q79" s="241" t="s">
        <v>51</v>
      </c>
      <c r="R79" s="248"/>
      <c r="S79" s="249"/>
      <c r="T79" s="250"/>
      <c r="U79" s="249"/>
      <c r="V79" s="249"/>
      <c r="W79" s="249"/>
      <c r="X79" s="248"/>
      <c r="Y79" s="249"/>
      <c r="Z79" s="250"/>
      <c r="AA79" s="249"/>
      <c r="AB79" s="249"/>
      <c r="AC79" s="249"/>
      <c r="AD79" s="248"/>
      <c r="AE79" s="249"/>
      <c r="AF79" s="250"/>
      <c r="AG79" s="249"/>
      <c r="AH79" s="249"/>
      <c r="AI79" s="249"/>
      <c r="AJ79" s="248">
        <f t="shared" si="24"/>
        <v>0</v>
      </c>
      <c r="AK79" s="249">
        <f t="shared" si="24"/>
        <v>0</v>
      </c>
      <c r="AL79" s="250">
        <f t="shared" si="24"/>
        <v>0</v>
      </c>
      <c r="AM79" s="249"/>
      <c r="AN79" s="249"/>
      <c r="AO79" s="249"/>
      <c r="AP79" s="248">
        <v>101620</v>
      </c>
      <c r="AQ79" s="249">
        <v>94098</v>
      </c>
      <c r="AR79" s="250">
        <v>112991</v>
      </c>
      <c r="AS79" s="249">
        <v>32646</v>
      </c>
      <c r="AT79" s="249">
        <v>30507</v>
      </c>
      <c r="AU79" s="249">
        <v>58648</v>
      </c>
      <c r="AV79" s="332">
        <f t="shared" si="31"/>
        <v>134266</v>
      </c>
      <c r="AW79" s="251">
        <f t="shared" si="31"/>
        <v>124605</v>
      </c>
      <c r="AX79" s="333">
        <f>AR79+AU79</f>
        <v>171639</v>
      </c>
      <c r="AY79" s="249">
        <f>3042+8566+10139</f>
        <v>21747</v>
      </c>
      <c r="AZ79" s="249">
        <f>3086+8655+10701</f>
        <v>22442</v>
      </c>
      <c r="BA79" s="249">
        <f>3294+8912+10649</f>
        <v>22855</v>
      </c>
      <c r="BB79" s="334">
        <f t="shared" si="28"/>
        <v>967574</v>
      </c>
      <c r="BC79" s="335">
        <f t="shared" si="29"/>
        <v>138224.85714285713</v>
      </c>
      <c r="BD79" s="253">
        <f t="shared" si="27"/>
        <v>154032</v>
      </c>
      <c r="BE79" s="241">
        <v>1971</v>
      </c>
    </row>
    <row r="80" spans="1:58" s="101" customFormat="1">
      <c r="A80" s="57" t="s">
        <v>220</v>
      </c>
      <c r="B80" s="34" t="s">
        <v>35</v>
      </c>
      <c r="C80" s="34" t="s">
        <v>165</v>
      </c>
      <c r="D80" s="59" t="s">
        <v>166</v>
      </c>
      <c r="E80" s="39" t="s">
        <v>221</v>
      </c>
      <c r="F80" s="237">
        <v>5941500</v>
      </c>
      <c r="G80" s="34" t="s">
        <v>39</v>
      </c>
      <c r="H80" s="34" t="s">
        <v>40</v>
      </c>
      <c r="I80" s="34">
        <v>10</v>
      </c>
      <c r="J80" s="34">
        <v>292</v>
      </c>
      <c r="K80" s="34">
        <f t="shared" si="26"/>
        <v>2920</v>
      </c>
      <c r="L80" s="38" t="s">
        <v>153</v>
      </c>
      <c r="M80" s="38" t="s">
        <v>42</v>
      </c>
      <c r="N80" s="64" t="s">
        <v>222</v>
      </c>
      <c r="O80" s="34" t="s">
        <v>49</v>
      </c>
      <c r="P80" s="58" t="s">
        <v>179</v>
      </c>
      <c r="Q80" s="34" t="s">
        <v>51</v>
      </c>
      <c r="R80" s="60"/>
      <c r="S80" s="49"/>
      <c r="T80" s="61"/>
      <c r="U80" s="49"/>
      <c r="V80" s="49"/>
      <c r="W80" s="49"/>
      <c r="X80" s="60"/>
      <c r="Y80" s="49"/>
      <c r="Z80" s="61"/>
      <c r="AA80" s="49"/>
      <c r="AB80" s="49"/>
      <c r="AC80" s="49"/>
      <c r="AD80" s="60"/>
      <c r="AE80" s="49"/>
      <c r="AF80" s="61"/>
      <c r="AG80" s="49"/>
      <c r="AH80" s="49"/>
      <c r="AI80" s="49"/>
      <c r="AJ80" s="60">
        <f t="shared" si="24"/>
        <v>0</v>
      </c>
      <c r="AK80" s="49">
        <f t="shared" si="24"/>
        <v>0</v>
      </c>
      <c r="AL80" s="61">
        <f t="shared" si="24"/>
        <v>0</v>
      </c>
      <c r="AM80" s="49"/>
      <c r="AN80" s="49"/>
      <c r="AO80" s="49"/>
      <c r="AP80" s="60">
        <v>237141</v>
      </c>
      <c r="AQ80" s="49">
        <v>339851</v>
      </c>
      <c r="AR80" s="61">
        <v>247435</v>
      </c>
      <c r="AS80" s="49">
        <v>95659</v>
      </c>
      <c r="AT80" s="49">
        <v>100591</v>
      </c>
      <c r="AU80" s="49">
        <v>45814</v>
      </c>
      <c r="AV80" s="337">
        <f t="shared" si="31"/>
        <v>332800</v>
      </c>
      <c r="AW80" s="53">
        <f t="shared" si="31"/>
        <v>440442</v>
      </c>
      <c r="AX80" s="338">
        <f>AR80+AU80</f>
        <v>293249</v>
      </c>
      <c r="AY80" s="49">
        <f>44379+9592</f>
        <v>53971</v>
      </c>
      <c r="AZ80" s="49">
        <f>39442+9542</f>
        <v>48984</v>
      </c>
      <c r="BA80" s="49">
        <f>39095+9546</f>
        <v>48641</v>
      </c>
      <c r="BB80" s="339">
        <f t="shared" si="28"/>
        <v>2397691</v>
      </c>
      <c r="BC80" s="340">
        <f t="shared" si="29"/>
        <v>342527.28571428574</v>
      </c>
      <c r="BD80" s="62">
        <f t="shared" si="27"/>
        <v>367480</v>
      </c>
      <c r="BE80" s="105">
        <v>1892</v>
      </c>
      <c r="BF80" s="56"/>
    </row>
    <row r="81" spans="1:58" s="101" customFormat="1">
      <c r="A81" s="57" t="s">
        <v>225</v>
      </c>
      <c r="B81" s="34" t="s">
        <v>112</v>
      </c>
      <c r="C81" s="34" t="s">
        <v>165</v>
      </c>
      <c r="D81" s="59" t="s">
        <v>166</v>
      </c>
      <c r="E81" s="39" t="s">
        <v>221</v>
      </c>
      <c r="F81" s="237">
        <v>5941500</v>
      </c>
      <c r="G81" s="34" t="s">
        <v>39</v>
      </c>
      <c r="H81" s="34" t="s">
        <v>40</v>
      </c>
      <c r="I81" s="34">
        <v>6</v>
      </c>
      <c r="J81" s="34"/>
      <c r="K81" s="34">
        <f t="shared" si="26"/>
        <v>0</v>
      </c>
      <c r="L81" s="34"/>
      <c r="M81" s="34" t="s">
        <v>53</v>
      </c>
      <c r="N81" s="64" t="s">
        <v>43</v>
      </c>
      <c r="O81" s="34" t="s">
        <v>54</v>
      </c>
      <c r="P81" s="58" t="s">
        <v>113</v>
      </c>
      <c r="Q81" s="34" t="s">
        <v>51</v>
      </c>
      <c r="R81" s="35"/>
      <c r="S81" s="34"/>
      <c r="T81" s="64"/>
      <c r="U81" s="34"/>
      <c r="V81" s="34"/>
      <c r="W81" s="34"/>
      <c r="X81" s="35"/>
      <c r="Y81" s="34"/>
      <c r="Z81" s="64"/>
      <c r="AA81" s="34"/>
      <c r="AB81" s="34"/>
      <c r="AC81" s="34"/>
      <c r="AD81" s="35"/>
      <c r="AE81" s="34"/>
      <c r="AF81" s="64"/>
      <c r="AG81" s="34"/>
      <c r="AH81" s="34"/>
      <c r="AI81" s="34"/>
      <c r="AJ81" s="35"/>
      <c r="AK81" s="34"/>
      <c r="AL81" s="64"/>
      <c r="AM81" s="34"/>
      <c r="AN81" s="34"/>
      <c r="AO81" s="34"/>
      <c r="AP81" s="35"/>
      <c r="AQ81" s="34"/>
      <c r="AR81" s="64"/>
      <c r="AS81" s="49">
        <f>((10652*4)+24947)/5</f>
        <v>13511</v>
      </c>
      <c r="AT81" s="49"/>
      <c r="AU81" s="49"/>
      <c r="AV81" s="337">
        <f>AP81+AS81</f>
        <v>13511</v>
      </c>
      <c r="AW81" s="53"/>
      <c r="AX81" s="338"/>
      <c r="AY81" s="34"/>
      <c r="AZ81" s="34"/>
      <c r="BA81" s="34"/>
      <c r="BB81" s="339">
        <f t="shared" si="28"/>
        <v>67555</v>
      </c>
      <c r="BC81" s="340">
        <f t="shared" si="29"/>
        <v>13511</v>
      </c>
      <c r="BD81" s="62">
        <f t="shared" si="27"/>
        <v>0</v>
      </c>
      <c r="BE81" s="66">
        <v>2005</v>
      </c>
      <c r="BF81" s="56"/>
    </row>
    <row r="82" spans="1:58" s="101" customFormat="1">
      <c r="A82" s="57" t="s">
        <v>223</v>
      </c>
      <c r="B82" s="34" t="s">
        <v>35</v>
      </c>
      <c r="C82" s="34" t="s">
        <v>165</v>
      </c>
      <c r="D82" s="59" t="s">
        <v>166</v>
      </c>
      <c r="E82" s="39" t="s">
        <v>221</v>
      </c>
      <c r="F82" s="237">
        <v>5941500</v>
      </c>
      <c r="G82" s="34" t="s">
        <v>39</v>
      </c>
      <c r="H82" s="34" t="s">
        <v>47</v>
      </c>
      <c r="I82" s="34">
        <v>6</v>
      </c>
      <c r="J82" s="34">
        <v>175</v>
      </c>
      <c r="K82" s="34">
        <f t="shared" si="26"/>
        <v>1050</v>
      </c>
      <c r="L82" s="34"/>
      <c r="M82" s="34" t="s">
        <v>53</v>
      </c>
      <c r="N82" s="64" t="s">
        <v>43</v>
      </c>
      <c r="O82" s="34" t="s">
        <v>54</v>
      </c>
      <c r="P82" s="58" t="s">
        <v>55</v>
      </c>
      <c r="Q82" s="34" t="s">
        <v>51</v>
      </c>
      <c r="R82" s="35"/>
      <c r="S82" s="34"/>
      <c r="T82" s="64"/>
      <c r="U82" s="34"/>
      <c r="V82" s="34"/>
      <c r="W82" s="34"/>
      <c r="X82" s="35"/>
      <c r="Y82" s="34"/>
      <c r="Z82" s="64"/>
      <c r="AA82" s="34"/>
      <c r="AB82" s="34"/>
      <c r="AC82" s="34"/>
      <c r="AD82" s="35"/>
      <c r="AE82" s="34"/>
      <c r="AF82" s="64"/>
      <c r="AG82" s="34"/>
      <c r="AH82" s="34"/>
      <c r="AI82" s="34"/>
      <c r="AJ82" s="35"/>
      <c r="AK82" s="34"/>
      <c r="AL82" s="64"/>
      <c r="AM82" s="34"/>
      <c r="AN82" s="34"/>
      <c r="AO82" s="34"/>
      <c r="AP82" s="35"/>
      <c r="AQ82" s="34"/>
      <c r="AR82" s="64"/>
      <c r="AS82" s="49">
        <f>((218513*4)+229834)/5</f>
        <v>220777.2</v>
      </c>
      <c r="AT82" s="49"/>
      <c r="AU82" s="49"/>
      <c r="AV82" s="337">
        <f>AP82+AS82</f>
        <v>220777.2</v>
      </c>
      <c r="AW82" s="53"/>
      <c r="AX82" s="338"/>
      <c r="AY82" s="34"/>
      <c r="AZ82" s="34"/>
      <c r="BA82" s="34"/>
      <c r="BB82" s="339">
        <f t="shared" si="28"/>
        <v>1103886</v>
      </c>
      <c r="BC82" s="340">
        <f t="shared" si="29"/>
        <v>220777.2</v>
      </c>
      <c r="BD82" s="62">
        <f t="shared" si="27"/>
        <v>0</v>
      </c>
      <c r="BE82" s="66">
        <v>2000</v>
      </c>
      <c r="BF82" s="56"/>
    </row>
    <row r="83" spans="1:58" s="101" customFormat="1">
      <c r="A83" s="240" t="s">
        <v>313</v>
      </c>
      <c r="B83" s="241" t="s">
        <v>35</v>
      </c>
      <c r="C83" s="241" t="s">
        <v>165</v>
      </c>
      <c r="D83" s="246" t="s">
        <v>166</v>
      </c>
      <c r="E83" s="247" t="s">
        <v>221</v>
      </c>
      <c r="F83" s="331">
        <v>5941500</v>
      </c>
      <c r="G83" s="241" t="s">
        <v>39</v>
      </c>
      <c r="H83" s="241" t="s">
        <v>47</v>
      </c>
      <c r="I83" s="241">
        <v>6</v>
      </c>
      <c r="J83" s="241">
        <v>160</v>
      </c>
      <c r="K83" s="241">
        <f t="shared" si="26"/>
        <v>960</v>
      </c>
      <c r="L83" s="245"/>
      <c r="M83" s="245" t="s">
        <v>53</v>
      </c>
      <c r="N83" s="262" t="s">
        <v>43</v>
      </c>
      <c r="O83" s="241" t="s">
        <v>54</v>
      </c>
      <c r="P83" s="243" t="s">
        <v>50</v>
      </c>
      <c r="Q83" s="241" t="s">
        <v>51</v>
      </c>
      <c r="R83" s="248"/>
      <c r="S83" s="249"/>
      <c r="T83" s="250"/>
      <c r="U83" s="249"/>
      <c r="V83" s="249"/>
      <c r="W83" s="249"/>
      <c r="X83" s="248"/>
      <c r="Y83" s="249"/>
      <c r="Z83" s="250"/>
      <c r="AA83" s="249"/>
      <c r="AB83" s="249"/>
      <c r="AC83" s="249"/>
      <c r="AD83" s="248"/>
      <c r="AE83" s="249"/>
      <c r="AF83" s="250"/>
      <c r="AG83" s="249"/>
      <c r="AH83" s="249"/>
      <c r="AI83" s="249"/>
      <c r="AJ83" s="248"/>
      <c r="AK83" s="249"/>
      <c r="AL83" s="250"/>
      <c r="AM83" s="249"/>
      <c r="AN83" s="249"/>
      <c r="AO83" s="249"/>
      <c r="AP83" s="248"/>
      <c r="AQ83" s="249"/>
      <c r="AR83" s="250"/>
      <c r="AS83" s="249">
        <f>((219506*4)+217970)/5</f>
        <v>219198.8</v>
      </c>
      <c r="AT83" s="249"/>
      <c r="AU83" s="249"/>
      <c r="AV83" s="332">
        <f>AP83+AS83</f>
        <v>219198.8</v>
      </c>
      <c r="AW83" s="251"/>
      <c r="AX83" s="333"/>
      <c r="AY83" s="249"/>
      <c r="AZ83" s="249"/>
      <c r="BA83" s="249"/>
      <c r="BB83" s="334">
        <f t="shared" si="28"/>
        <v>1095994</v>
      </c>
      <c r="BC83" s="335">
        <f t="shared" si="29"/>
        <v>219198.8</v>
      </c>
      <c r="BD83" s="253">
        <f t="shared" si="27"/>
        <v>0</v>
      </c>
      <c r="BE83" s="264">
        <v>2003</v>
      </c>
    </row>
    <row r="84" spans="1:58" s="101" customFormat="1">
      <c r="A84" s="57" t="s">
        <v>226</v>
      </c>
      <c r="B84" s="34" t="s">
        <v>35</v>
      </c>
      <c r="C84" s="34" t="s">
        <v>165</v>
      </c>
      <c r="D84" s="59" t="s">
        <v>166</v>
      </c>
      <c r="E84" s="39" t="s">
        <v>227</v>
      </c>
      <c r="F84" s="237">
        <v>98780</v>
      </c>
      <c r="G84" s="34" t="s">
        <v>63</v>
      </c>
      <c r="H84" s="34" t="s">
        <v>40</v>
      </c>
      <c r="I84" s="34">
        <v>10</v>
      </c>
      <c r="J84" s="34">
        <v>307</v>
      </c>
      <c r="K84" s="34">
        <f t="shared" si="26"/>
        <v>3070</v>
      </c>
      <c r="L84" s="38"/>
      <c r="M84" s="38" t="s">
        <v>42</v>
      </c>
      <c r="N84" s="64" t="s">
        <v>64</v>
      </c>
      <c r="O84" s="34" t="s">
        <v>44</v>
      </c>
      <c r="P84" s="58" t="s">
        <v>179</v>
      </c>
      <c r="Q84" s="34" t="s">
        <v>51</v>
      </c>
      <c r="R84" s="60"/>
      <c r="S84" s="49"/>
      <c r="T84" s="61"/>
      <c r="U84" s="49"/>
      <c r="V84" s="49"/>
      <c r="W84" s="49"/>
      <c r="X84" s="60"/>
      <c r="Y84" s="49"/>
      <c r="Z84" s="61"/>
      <c r="AA84" s="49"/>
      <c r="AB84" s="49"/>
      <c r="AC84" s="49"/>
      <c r="AD84" s="60"/>
      <c r="AE84" s="49"/>
      <c r="AF84" s="61"/>
      <c r="AG84" s="49"/>
      <c r="AH84" s="49"/>
      <c r="AI84" s="49"/>
      <c r="AJ84" s="60">
        <f t="shared" ref="AJ84:AL95" si="32">AD84+AG84</f>
        <v>0</v>
      </c>
      <c r="AK84" s="49">
        <f t="shared" si="32"/>
        <v>0</v>
      </c>
      <c r="AL84" s="61">
        <f t="shared" si="32"/>
        <v>0</v>
      </c>
      <c r="AM84" s="49"/>
      <c r="AN84" s="49"/>
      <c r="AO84" s="49"/>
      <c r="AP84" s="60">
        <v>46171</v>
      </c>
      <c r="AQ84" s="49">
        <v>48107</v>
      </c>
      <c r="AR84" s="61"/>
      <c r="AS84" s="49">
        <v>10424</v>
      </c>
      <c r="AT84" s="49">
        <v>7359</v>
      </c>
      <c r="AU84" s="49"/>
      <c r="AV84" s="337">
        <f>AP84+AS84</f>
        <v>56595</v>
      </c>
      <c r="AW84" s="53">
        <f>AQ84+AT84</f>
        <v>55466</v>
      </c>
      <c r="AX84" s="338"/>
      <c r="AY84" s="49">
        <f>2234+6000</f>
        <v>8234</v>
      </c>
      <c r="AZ84" s="49">
        <f>371+6000</f>
        <v>6371</v>
      </c>
      <c r="BA84" s="49"/>
      <c r="BB84" s="339">
        <f t="shared" si="28"/>
        <v>338441</v>
      </c>
      <c r="BC84" s="340">
        <f t="shared" si="29"/>
        <v>56406.833333333336</v>
      </c>
      <c r="BD84" s="62">
        <f t="shared" si="27"/>
        <v>47541</v>
      </c>
      <c r="BE84" s="34">
        <v>1878</v>
      </c>
    </row>
    <row r="85" spans="1:58" s="101" customFormat="1">
      <c r="A85" s="240" t="s">
        <v>312</v>
      </c>
      <c r="B85" s="241" t="s">
        <v>35</v>
      </c>
      <c r="C85" s="241" t="s">
        <v>165</v>
      </c>
      <c r="D85" s="246" t="s">
        <v>166</v>
      </c>
      <c r="E85" s="247" t="s">
        <v>228</v>
      </c>
      <c r="F85" s="331">
        <v>50631</v>
      </c>
      <c r="G85" s="241" t="s">
        <v>63</v>
      </c>
      <c r="H85" s="241" t="s">
        <v>40</v>
      </c>
      <c r="I85" s="241">
        <v>10</v>
      </c>
      <c r="J85" s="241">
        <v>301</v>
      </c>
      <c r="K85" s="241">
        <f t="shared" si="26"/>
        <v>3010</v>
      </c>
      <c r="L85" s="245"/>
      <c r="M85" s="245" t="s">
        <v>42</v>
      </c>
      <c r="N85" s="262" t="s">
        <v>43</v>
      </c>
      <c r="O85" s="241" t="s">
        <v>44</v>
      </c>
      <c r="P85" s="243" t="s">
        <v>50</v>
      </c>
      <c r="Q85" s="241" t="s">
        <v>51</v>
      </c>
      <c r="R85" s="248"/>
      <c r="S85" s="249"/>
      <c r="T85" s="250"/>
      <c r="U85" s="249"/>
      <c r="V85" s="249"/>
      <c r="W85" s="249"/>
      <c r="X85" s="248"/>
      <c r="Y85" s="249"/>
      <c r="Z85" s="250"/>
      <c r="AA85" s="249"/>
      <c r="AB85" s="249"/>
      <c r="AC85" s="249"/>
      <c r="AD85" s="248"/>
      <c r="AE85" s="249"/>
      <c r="AF85" s="250"/>
      <c r="AG85" s="249"/>
      <c r="AH85" s="249"/>
      <c r="AI85" s="249"/>
      <c r="AJ85" s="248">
        <f t="shared" si="32"/>
        <v>0</v>
      </c>
      <c r="AK85" s="249">
        <f t="shared" si="32"/>
        <v>0</v>
      </c>
      <c r="AL85" s="250">
        <f t="shared" si="32"/>
        <v>0</v>
      </c>
      <c r="AM85" s="249"/>
      <c r="AN85" s="249"/>
      <c r="AO85" s="249"/>
      <c r="AP85" s="248">
        <v>7495</v>
      </c>
      <c r="AQ85" s="249">
        <v>7589</v>
      </c>
      <c r="AR85" s="250"/>
      <c r="AS85" s="249">
        <v>3465</v>
      </c>
      <c r="AT85" s="249">
        <v>373</v>
      </c>
      <c r="AU85" s="249"/>
      <c r="AV85" s="332">
        <f>AP85+AS85</f>
        <v>10960</v>
      </c>
      <c r="AW85" s="251">
        <f>AQ85+AT85</f>
        <v>7962</v>
      </c>
      <c r="AX85" s="333"/>
      <c r="AY85" s="249">
        <f>229+279+58</f>
        <v>566</v>
      </c>
      <c r="AZ85" s="249">
        <f>229+279+58</f>
        <v>566</v>
      </c>
      <c r="BA85" s="249"/>
      <c r="BB85" s="334">
        <f t="shared" si="28"/>
        <v>62762</v>
      </c>
      <c r="BC85" s="335">
        <f t="shared" si="29"/>
        <v>10460.333333333334</v>
      </c>
      <c r="BD85" s="253">
        <f t="shared" si="27"/>
        <v>3396</v>
      </c>
      <c r="BE85" s="241">
        <v>1863</v>
      </c>
    </row>
    <row r="86" spans="1:58" s="101" customFormat="1">
      <c r="A86" s="57" t="s">
        <v>229</v>
      </c>
      <c r="B86" s="34" t="s">
        <v>35</v>
      </c>
      <c r="C86" s="34" t="s">
        <v>165</v>
      </c>
      <c r="D86" s="59" t="s">
        <v>166</v>
      </c>
      <c r="E86" s="39" t="s">
        <v>230</v>
      </c>
      <c r="F86" s="237">
        <v>333400</v>
      </c>
      <c r="G86" s="34" t="s">
        <v>68</v>
      </c>
      <c r="H86" s="34" t="s">
        <v>40</v>
      </c>
      <c r="I86" s="34">
        <v>10</v>
      </c>
      <c r="J86" s="34">
        <v>297</v>
      </c>
      <c r="K86" s="34">
        <f t="shared" si="26"/>
        <v>2970</v>
      </c>
      <c r="L86" s="38" t="s">
        <v>41</v>
      </c>
      <c r="M86" s="38" t="s">
        <v>42</v>
      </c>
      <c r="N86" s="64" t="s">
        <v>43</v>
      </c>
      <c r="O86" s="34" t="s">
        <v>44</v>
      </c>
      <c r="P86" s="58" t="s">
        <v>45</v>
      </c>
      <c r="Q86" s="34" t="s">
        <v>46</v>
      </c>
      <c r="R86" s="68">
        <v>40027</v>
      </c>
      <c r="S86" s="44">
        <v>44329</v>
      </c>
      <c r="T86" s="69"/>
      <c r="U86" s="44">
        <v>15452</v>
      </c>
      <c r="V86" s="44">
        <v>11287</v>
      </c>
      <c r="W86" s="44"/>
      <c r="X86" s="68">
        <f>R86+U86</f>
        <v>55479</v>
      </c>
      <c r="Y86" s="44">
        <f>S86+V86</f>
        <v>55616</v>
      </c>
      <c r="Z86" s="69"/>
      <c r="AA86" s="44">
        <v>14501</v>
      </c>
      <c r="AB86" s="44">
        <v>10457</v>
      </c>
      <c r="AC86" s="44"/>
      <c r="AD86" s="70">
        <v>39450</v>
      </c>
      <c r="AE86" s="48">
        <v>43227</v>
      </c>
      <c r="AF86" s="71"/>
      <c r="AG86" s="48">
        <v>13308</v>
      </c>
      <c r="AH86" s="48">
        <v>10691</v>
      </c>
      <c r="AI86" s="48"/>
      <c r="AJ86" s="70">
        <f t="shared" si="32"/>
        <v>52758</v>
      </c>
      <c r="AK86" s="48">
        <f t="shared" si="32"/>
        <v>53918</v>
      </c>
      <c r="AL86" s="71">
        <f t="shared" si="32"/>
        <v>0</v>
      </c>
      <c r="AM86" s="48">
        <v>13478</v>
      </c>
      <c r="AN86" s="48">
        <v>10478</v>
      </c>
      <c r="AO86" s="48"/>
      <c r="AP86" s="60">
        <f>AVERAGE(R86,AD86)</f>
        <v>39738.5</v>
      </c>
      <c r="AQ86" s="49">
        <f>AVERAGE(S86,AE86)</f>
        <v>43778</v>
      </c>
      <c r="AR86" s="61"/>
      <c r="AS86" s="49">
        <f>AVERAGE(U86,AG86)</f>
        <v>14380</v>
      </c>
      <c r="AT86" s="49">
        <f>AVERAGE(V86,AH86)</f>
        <v>10989</v>
      </c>
      <c r="AU86" s="49"/>
      <c r="AV86" s="337">
        <f>AVERAGE(X86,AJ86)</f>
        <v>54118.5</v>
      </c>
      <c r="AW86" s="53">
        <f>AVERAGE(Y86,AK86)</f>
        <v>54767</v>
      </c>
      <c r="AX86" s="338"/>
      <c r="AY86" s="49">
        <f>AVERAGE(AA86,AM86)</f>
        <v>13989.5</v>
      </c>
      <c r="AZ86" s="49">
        <f>AVERAGE(AB86,AN86)</f>
        <v>10467.5</v>
      </c>
      <c r="BA86" s="49"/>
      <c r="BB86" s="339">
        <f t="shared" si="28"/>
        <v>325359.5</v>
      </c>
      <c r="BC86" s="340">
        <f t="shared" si="29"/>
        <v>54226.583333333336</v>
      </c>
      <c r="BD86" s="62">
        <f t="shared" si="27"/>
        <v>80415</v>
      </c>
      <c r="BE86" s="34">
        <v>1888</v>
      </c>
      <c r="BF86" s="56"/>
    </row>
    <row r="87" spans="1:58" s="101" customFormat="1">
      <c r="A87" s="240" t="s">
        <v>311</v>
      </c>
      <c r="B87" s="241" t="s">
        <v>35</v>
      </c>
      <c r="C87" s="241" t="s">
        <v>165</v>
      </c>
      <c r="D87" s="246" t="s">
        <v>166</v>
      </c>
      <c r="E87" s="247" t="s">
        <v>231</v>
      </c>
      <c r="F87" s="331">
        <v>37754</v>
      </c>
      <c r="G87" s="241" t="s">
        <v>82</v>
      </c>
      <c r="H87" s="241" t="s">
        <v>40</v>
      </c>
      <c r="I87" s="241">
        <v>10</v>
      </c>
      <c r="J87" s="241">
        <v>301</v>
      </c>
      <c r="K87" s="241">
        <f t="shared" si="26"/>
        <v>3010</v>
      </c>
      <c r="L87" s="245"/>
      <c r="M87" s="245" t="s">
        <v>42</v>
      </c>
      <c r="N87" s="262" t="s">
        <v>64</v>
      </c>
      <c r="O87" s="241" t="s">
        <v>44</v>
      </c>
      <c r="P87" s="243" t="s">
        <v>50</v>
      </c>
      <c r="Q87" s="241" t="s">
        <v>114</v>
      </c>
      <c r="R87" s="248"/>
      <c r="S87" s="249"/>
      <c r="T87" s="250"/>
      <c r="U87" s="249"/>
      <c r="V87" s="249"/>
      <c r="W87" s="249"/>
      <c r="X87" s="248"/>
      <c r="Y87" s="249"/>
      <c r="Z87" s="250"/>
      <c r="AA87" s="249"/>
      <c r="AB87" s="249"/>
      <c r="AC87" s="249"/>
      <c r="AD87" s="248"/>
      <c r="AE87" s="249"/>
      <c r="AF87" s="250"/>
      <c r="AG87" s="249"/>
      <c r="AH87" s="249"/>
      <c r="AI87" s="249"/>
      <c r="AJ87" s="248">
        <f t="shared" si="32"/>
        <v>0</v>
      </c>
      <c r="AK87" s="249">
        <f t="shared" si="32"/>
        <v>0</v>
      </c>
      <c r="AL87" s="250">
        <f t="shared" si="32"/>
        <v>0</v>
      </c>
      <c r="AM87" s="249"/>
      <c r="AN87" s="249"/>
      <c r="AO87" s="249"/>
      <c r="AP87" s="248">
        <f>3698+15</f>
        <v>3713</v>
      </c>
      <c r="AQ87" s="249">
        <f>3698+15</f>
        <v>3713</v>
      </c>
      <c r="AR87" s="250"/>
      <c r="AS87" s="249"/>
      <c r="AT87" s="249"/>
      <c r="AU87" s="249"/>
      <c r="AV87" s="332">
        <f t="shared" ref="AV87:AW89" si="33">AP87+AS87</f>
        <v>3713</v>
      </c>
      <c r="AW87" s="251">
        <f t="shared" si="33"/>
        <v>3713</v>
      </c>
      <c r="AX87" s="333"/>
      <c r="AY87" s="249">
        <v>15</v>
      </c>
      <c r="AZ87" s="249">
        <v>15</v>
      </c>
      <c r="BA87" s="249"/>
      <c r="BB87" s="334">
        <f t="shared" si="28"/>
        <v>22278</v>
      </c>
      <c r="BC87" s="335">
        <f t="shared" si="29"/>
        <v>3713</v>
      </c>
      <c r="BD87" s="253">
        <f t="shared" si="27"/>
        <v>90</v>
      </c>
      <c r="BE87" s="241">
        <v>1886</v>
      </c>
    </row>
    <row r="88" spans="1:58" s="101" customFormat="1">
      <c r="A88" s="57" t="s">
        <v>232</v>
      </c>
      <c r="B88" s="34" t="s">
        <v>35</v>
      </c>
      <c r="C88" s="34" t="s">
        <v>133</v>
      </c>
      <c r="D88" s="59" t="s">
        <v>233</v>
      </c>
      <c r="E88" s="39" t="s">
        <v>234</v>
      </c>
      <c r="F88" s="237">
        <v>64487</v>
      </c>
      <c r="G88" s="34" t="s">
        <v>63</v>
      </c>
      <c r="H88" s="34" t="s">
        <v>40</v>
      </c>
      <c r="I88" s="34">
        <v>10</v>
      </c>
      <c r="J88" s="34">
        <v>301</v>
      </c>
      <c r="K88" s="34">
        <f t="shared" si="26"/>
        <v>3010</v>
      </c>
      <c r="L88" s="38" t="s">
        <v>41</v>
      </c>
      <c r="M88" s="38" t="s">
        <v>42</v>
      </c>
      <c r="N88" s="64" t="s">
        <v>43</v>
      </c>
      <c r="O88" s="34" t="s">
        <v>44</v>
      </c>
      <c r="P88" s="58" t="s">
        <v>147</v>
      </c>
      <c r="Q88" s="34" t="s">
        <v>51</v>
      </c>
      <c r="R88" s="60"/>
      <c r="S88" s="49"/>
      <c r="T88" s="61"/>
      <c r="U88" s="49"/>
      <c r="V88" s="49"/>
      <c r="W88" s="49"/>
      <c r="X88" s="60"/>
      <c r="Y88" s="49"/>
      <c r="Z88" s="61"/>
      <c r="AA88" s="49"/>
      <c r="AB88" s="49"/>
      <c r="AC88" s="49"/>
      <c r="AD88" s="60"/>
      <c r="AE88" s="49"/>
      <c r="AF88" s="61"/>
      <c r="AG88" s="49"/>
      <c r="AH88" s="49"/>
      <c r="AI88" s="49"/>
      <c r="AJ88" s="60">
        <f t="shared" si="32"/>
        <v>0</v>
      </c>
      <c r="AK88" s="49">
        <f t="shared" si="32"/>
        <v>0</v>
      </c>
      <c r="AL88" s="61">
        <f t="shared" si="32"/>
        <v>0</v>
      </c>
      <c r="AM88" s="49"/>
      <c r="AN88" s="49"/>
      <c r="AO88" s="49"/>
      <c r="AP88" s="60">
        <v>14022</v>
      </c>
      <c r="AQ88" s="49">
        <v>14921</v>
      </c>
      <c r="AR88" s="61"/>
      <c r="AS88" s="49">
        <v>896</v>
      </c>
      <c r="AT88" s="49">
        <v>447</v>
      </c>
      <c r="AU88" s="49"/>
      <c r="AV88" s="337">
        <f t="shared" si="33"/>
        <v>14918</v>
      </c>
      <c r="AW88" s="53">
        <f t="shared" si="33"/>
        <v>15368</v>
      </c>
      <c r="AX88" s="338"/>
      <c r="AY88" s="49">
        <v>137</v>
      </c>
      <c r="AZ88" s="49">
        <v>134</v>
      </c>
      <c r="BA88" s="49"/>
      <c r="BB88" s="339">
        <f t="shared" si="28"/>
        <v>89958</v>
      </c>
      <c r="BC88" s="340">
        <f t="shared" si="29"/>
        <v>14993</v>
      </c>
      <c r="BD88" s="62">
        <f t="shared" si="27"/>
        <v>819</v>
      </c>
      <c r="BE88" s="34">
        <v>1887</v>
      </c>
    </row>
    <row r="89" spans="1:58" s="101" customFormat="1">
      <c r="A89" s="57" t="s">
        <v>235</v>
      </c>
      <c r="B89" s="34" t="s">
        <v>35</v>
      </c>
      <c r="C89" s="34" t="s">
        <v>133</v>
      </c>
      <c r="D89" s="59" t="s">
        <v>233</v>
      </c>
      <c r="E89" s="39" t="s">
        <v>236</v>
      </c>
      <c r="F89" s="237">
        <v>16488</v>
      </c>
      <c r="G89" s="34" t="s">
        <v>82</v>
      </c>
      <c r="H89" s="34" t="s">
        <v>40</v>
      </c>
      <c r="I89" s="34">
        <v>10</v>
      </c>
      <c r="J89" s="34">
        <v>301</v>
      </c>
      <c r="K89" s="34">
        <f t="shared" si="26"/>
        <v>3010</v>
      </c>
      <c r="L89" s="38" t="s">
        <v>237</v>
      </c>
      <c r="M89" s="38" t="s">
        <v>42</v>
      </c>
      <c r="N89" s="64" t="s">
        <v>64</v>
      </c>
      <c r="O89" s="34" t="s">
        <v>44</v>
      </c>
      <c r="P89" s="58" t="s">
        <v>147</v>
      </c>
      <c r="Q89" s="34" t="s">
        <v>51</v>
      </c>
      <c r="R89" s="60"/>
      <c r="S89" s="49"/>
      <c r="T89" s="61"/>
      <c r="U89" s="49"/>
      <c r="V89" s="49"/>
      <c r="W89" s="49"/>
      <c r="X89" s="60"/>
      <c r="Y89" s="49"/>
      <c r="Z89" s="61"/>
      <c r="AA89" s="49"/>
      <c r="AB89" s="49"/>
      <c r="AC89" s="49"/>
      <c r="AD89" s="60"/>
      <c r="AE89" s="49"/>
      <c r="AF89" s="61"/>
      <c r="AG89" s="49"/>
      <c r="AH89" s="49"/>
      <c r="AI89" s="49"/>
      <c r="AJ89" s="60">
        <f t="shared" si="32"/>
        <v>0</v>
      </c>
      <c r="AK89" s="49">
        <f t="shared" si="32"/>
        <v>0</v>
      </c>
      <c r="AL89" s="61">
        <f t="shared" si="32"/>
        <v>0</v>
      </c>
      <c r="AM89" s="49"/>
      <c r="AN89" s="49"/>
      <c r="AO89" s="49"/>
      <c r="AP89" s="60">
        <v>5835</v>
      </c>
      <c r="AQ89" s="49">
        <v>5965</v>
      </c>
      <c r="AR89" s="61"/>
      <c r="AS89" s="49">
        <v>181</v>
      </c>
      <c r="AT89" s="49">
        <v>124</v>
      </c>
      <c r="AU89" s="49"/>
      <c r="AV89" s="337">
        <f t="shared" si="33"/>
        <v>6016</v>
      </c>
      <c r="AW89" s="53">
        <f t="shared" si="33"/>
        <v>6089</v>
      </c>
      <c r="AX89" s="338"/>
      <c r="AY89" s="49">
        <v>33</v>
      </c>
      <c r="AZ89" s="49">
        <v>33</v>
      </c>
      <c r="BA89" s="49"/>
      <c r="BB89" s="339">
        <f t="shared" si="28"/>
        <v>36169</v>
      </c>
      <c r="BC89" s="340">
        <f t="shared" si="29"/>
        <v>6028.166666666667</v>
      </c>
      <c r="BD89" s="62">
        <f t="shared" si="27"/>
        <v>198</v>
      </c>
      <c r="BE89" s="34">
        <v>1957</v>
      </c>
      <c r="BF89" s="56"/>
    </row>
    <row r="90" spans="1:58" s="255" customFormat="1">
      <c r="A90" s="57" t="s">
        <v>238</v>
      </c>
      <c r="B90" s="34" t="s">
        <v>132</v>
      </c>
      <c r="C90" s="34" t="s">
        <v>239</v>
      </c>
      <c r="D90" s="59" t="s">
        <v>240</v>
      </c>
      <c r="E90" s="39" t="s">
        <v>241</v>
      </c>
      <c r="F90" s="237">
        <v>106666</v>
      </c>
      <c r="G90" s="34" t="s">
        <v>68</v>
      </c>
      <c r="H90" s="34" t="s">
        <v>47</v>
      </c>
      <c r="I90" s="34">
        <v>10</v>
      </c>
      <c r="J90" s="34">
        <v>195</v>
      </c>
      <c r="K90" s="34">
        <f t="shared" si="26"/>
        <v>1950</v>
      </c>
      <c r="L90" s="38"/>
      <c r="M90" s="38" t="s">
        <v>42</v>
      </c>
      <c r="N90" s="64" t="s">
        <v>43</v>
      </c>
      <c r="O90" s="34" t="s">
        <v>49</v>
      </c>
      <c r="P90" s="58" t="s">
        <v>200</v>
      </c>
      <c r="Q90" s="34" t="s">
        <v>46</v>
      </c>
      <c r="R90" s="68">
        <v>25399</v>
      </c>
      <c r="S90" s="44">
        <v>24699</v>
      </c>
      <c r="T90" s="69">
        <v>29682</v>
      </c>
      <c r="U90" s="44">
        <v>2393</v>
      </c>
      <c r="V90" s="44">
        <v>4595</v>
      </c>
      <c r="W90" s="44">
        <v>1677</v>
      </c>
      <c r="X90" s="68">
        <f>R90+U90</f>
        <v>27792</v>
      </c>
      <c r="Y90" s="44">
        <f>S90+V90</f>
        <v>29294</v>
      </c>
      <c r="Z90" s="69">
        <f>T90+W90</f>
        <v>31359</v>
      </c>
      <c r="AA90" s="44">
        <v>3885</v>
      </c>
      <c r="AB90" s="44">
        <v>4290</v>
      </c>
      <c r="AC90" s="44">
        <v>3812</v>
      </c>
      <c r="AD90" s="70">
        <v>23480</v>
      </c>
      <c r="AE90" s="48">
        <v>22676</v>
      </c>
      <c r="AF90" s="71">
        <v>27527</v>
      </c>
      <c r="AG90" s="48">
        <v>1264</v>
      </c>
      <c r="AH90" s="48">
        <v>652</v>
      </c>
      <c r="AI90" s="48">
        <v>4865</v>
      </c>
      <c r="AJ90" s="70">
        <f t="shared" si="32"/>
        <v>24744</v>
      </c>
      <c r="AK90" s="48">
        <f t="shared" si="32"/>
        <v>23328</v>
      </c>
      <c r="AL90" s="71">
        <f t="shared" si="32"/>
        <v>32392</v>
      </c>
      <c r="AM90" s="48">
        <v>3981</v>
      </c>
      <c r="AN90" s="48">
        <v>3981</v>
      </c>
      <c r="AO90" s="48">
        <v>3760</v>
      </c>
      <c r="AP90" s="60">
        <f t="shared" ref="AP90:BA94" si="34">AVERAGE(R90,AD90)</f>
        <v>24439.5</v>
      </c>
      <c r="AQ90" s="49">
        <f t="shared" si="34"/>
        <v>23687.5</v>
      </c>
      <c r="AR90" s="61">
        <f t="shared" si="34"/>
        <v>28604.5</v>
      </c>
      <c r="AS90" s="49">
        <f t="shared" si="34"/>
        <v>1828.5</v>
      </c>
      <c r="AT90" s="49">
        <f t="shared" si="34"/>
        <v>2623.5</v>
      </c>
      <c r="AU90" s="49">
        <f t="shared" si="34"/>
        <v>3271</v>
      </c>
      <c r="AV90" s="337">
        <f t="shared" si="34"/>
        <v>26268</v>
      </c>
      <c r="AW90" s="53">
        <f t="shared" si="34"/>
        <v>26311</v>
      </c>
      <c r="AX90" s="338">
        <f t="shared" si="34"/>
        <v>31875.5</v>
      </c>
      <c r="AY90" s="49">
        <f t="shared" si="34"/>
        <v>3933</v>
      </c>
      <c r="AZ90" s="49">
        <f t="shared" si="34"/>
        <v>4135.5</v>
      </c>
      <c r="BA90" s="49">
        <f t="shared" si="34"/>
        <v>3786</v>
      </c>
      <c r="BB90" s="339">
        <f t="shared" si="28"/>
        <v>189526.5</v>
      </c>
      <c r="BC90" s="340">
        <f t="shared" si="29"/>
        <v>27075.214285714286</v>
      </c>
      <c r="BD90" s="62">
        <f t="shared" si="27"/>
        <v>27586.5</v>
      </c>
      <c r="BE90" s="34">
        <v>1973</v>
      </c>
      <c r="BF90" s="74"/>
    </row>
    <row r="91" spans="1:58" s="101" customFormat="1">
      <c r="A91" s="57" t="s">
        <v>242</v>
      </c>
      <c r="B91" s="34" t="s">
        <v>132</v>
      </c>
      <c r="C91" s="34" t="s">
        <v>239</v>
      </c>
      <c r="D91" s="59" t="s">
        <v>240</v>
      </c>
      <c r="E91" s="39" t="s">
        <v>243</v>
      </c>
      <c r="F91" s="237">
        <v>77077</v>
      </c>
      <c r="G91" s="34" t="s">
        <v>63</v>
      </c>
      <c r="H91" s="34" t="s">
        <v>47</v>
      </c>
      <c r="I91" s="34">
        <v>10</v>
      </c>
      <c r="J91" s="34">
        <v>200</v>
      </c>
      <c r="K91" s="34">
        <f t="shared" si="26"/>
        <v>2000</v>
      </c>
      <c r="L91" s="38"/>
      <c r="M91" s="38" t="s">
        <v>42</v>
      </c>
      <c r="N91" s="64" t="s">
        <v>43</v>
      </c>
      <c r="O91" s="34" t="s">
        <v>44</v>
      </c>
      <c r="P91" s="58" t="s">
        <v>200</v>
      </c>
      <c r="Q91" s="34" t="s">
        <v>46</v>
      </c>
      <c r="R91" s="68">
        <v>12443</v>
      </c>
      <c r="S91" s="44">
        <v>14058</v>
      </c>
      <c r="T91" s="69"/>
      <c r="U91" s="44">
        <v>2217</v>
      </c>
      <c r="V91" s="44">
        <v>635</v>
      </c>
      <c r="W91" s="44"/>
      <c r="X91" s="68">
        <f t="shared" ref="X91:Y94" si="35">R91+U91</f>
        <v>14660</v>
      </c>
      <c r="Y91" s="44">
        <f t="shared" si="35"/>
        <v>14693</v>
      </c>
      <c r="Z91" s="69"/>
      <c r="AA91" s="44">
        <v>1204</v>
      </c>
      <c r="AB91" s="44">
        <v>1610</v>
      </c>
      <c r="AC91" s="44"/>
      <c r="AD91" s="70">
        <v>12019</v>
      </c>
      <c r="AE91" s="48">
        <v>13503</v>
      </c>
      <c r="AF91" s="71"/>
      <c r="AG91" s="48">
        <v>5516</v>
      </c>
      <c r="AH91" s="48">
        <v>358</v>
      </c>
      <c r="AI91" s="48"/>
      <c r="AJ91" s="70">
        <f t="shared" si="32"/>
        <v>17535</v>
      </c>
      <c r="AK91" s="48">
        <f t="shared" si="32"/>
        <v>13861</v>
      </c>
      <c r="AL91" s="71">
        <f t="shared" si="32"/>
        <v>0</v>
      </c>
      <c r="AM91" s="48">
        <v>1348</v>
      </c>
      <c r="AN91" s="48">
        <v>1345</v>
      </c>
      <c r="AO91" s="48"/>
      <c r="AP91" s="60">
        <f t="shared" si="34"/>
        <v>12231</v>
      </c>
      <c r="AQ91" s="49">
        <f t="shared" si="34"/>
        <v>13780.5</v>
      </c>
      <c r="AR91" s="61"/>
      <c r="AS91" s="49">
        <f t="shared" si="34"/>
        <v>3866.5</v>
      </c>
      <c r="AT91" s="49">
        <f t="shared" si="34"/>
        <v>496.5</v>
      </c>
      <c r="AU91" s="49"/>
      <c r="AV91" s="337">
        <f t="shared" si="34"/>
        <v>16097.5</v>
      </c>
      <c r="AW91" s="53">
        <f t="shared" si="34"/>
        <v>14277</v>
      </c>
      <c r="AX91" s="338"/>
      <c r="AY91" s="49">
        <f t="shared" si="34"/>
        <v>1276</v>
      </c>
      <c r="AZ91" s="49">
        <f t="shared" si="34"/>
        <v>1477.5</v>
      </c>
      <c r="BA91" s="49"/>
      <c r="BB91" s="339">
        <f t="shared" si="28"/>
        <v>94764.5</v>
      </c>
      <c r="BC91" s="340">
        <f t="shared" si="29"/>
        <v>15794.083333333334</v>
      </c>
      <c r="BD91" s="62">
        <f t="shared" si="27"/>
        <v>7857.5</v>
      </c>
      <c r="BE91" s="34">
        <v>1935</v>
      </c>
      <c r="BF91" s="74"/>
    </row>
    <row r="92" spans="1:58" s="73" customFormat="1">
      <c r="A92" s="57" t="s">
        <v>248</v>
      </c>
      <c r="B92" s="34" t="s">
        <v>132</v>
      </c>
      <c r="C92" s="34" t="s">
        <v>239</v>
      </c>
      <c r="D92" s="59" t="s">
        <v>240</v>
      </c>
      <c r="E92" s="39" t="s">
        <v>245</v>
      </c>
      <c r="F92" s="237">
        <v>3957700</v>
      </c>
      <c r="G92" s="34" t="s">
        <v>39</v>
      </c>
      <c r="H92" s="34" t="s">
        <v>40</v>
      </c>
      <c r="I92" s="34">
        <v>12</v>
      </c>
      <c r="J92" s="34">
        <v>290</v>
      </c>
      <c r="K92" s="34">
        <f t="shared" si="26"/>
        <v>3480</v>
      </c>
      <c r="L92" s="38"/>
      <c r="M92" s="38" t="s">
        <v>42</v>
      </c>
      <c r="N92" s="64" t="s">
        <v>43</v>
      </c>
      <c r="O92" s="34" t="s">
        <v>44</v>
      </c>
      <c r="P92" s="58" t="s">
        <v>113</v>
      </c>
      <c r="Q92" s="34" t="s">
        <v>46</v>
      </c>
      <c r="R92" s="68">
        <v>29182</v>
      </c>
      <c r="S92" s="44">
        <v>48605</v>
      </c>
      <c r="T92" s="69"/>
      <c r="U92" s="44">
        <v>3230</v>
      </c>
      <c r="V92" s="44">
        <v>6199</v>
      </c>
      <c r="W92" s="44"/>
      <c r="X92" s="68">
        <f t="shared" si="35"/>
        <v>32412</v>
      </c>
      <c r="Y92" s="44">
        <f t="shared" si="35"/>
        <v>54804</v>
      </c>
      <c r="Z92" s="69"/>
      <c r="AA92" s="44">
        <v>8354</v>
      </c>
      <c r="AB92" s="44">
        <v>10209</v>
      </c>
      <c r="AC92" s="44"/>
      <c r="AD92" s="70">
        <v>27827</v>
      </c>
      <c r="AE92" s="48">
        <v>45831</v>
      </c>
      <c r="AF92" s="71"/>
      <c r="AG92" s="48">
        <v>3884</v>
      </c>
      <c r="AH92" s="48">
        <v>7275</v>
      </c>
      <c r="AI92" s="48"/>
      <c r="AJ92" s="70">
        <f t="shared" si="32"/>
        <v>31711</v>
      </c>
      <c r="AK92" s="48">
        <f t="shared" si="32"/>
        <v>53106</v>
      </c>
      <c r="AL92" s="71">
        <f t="shared" si="32"/>
        <v>0</v>
      </c>
      <c r="AM92" s="48">
        <v>9290</v>
      </c>
      <c r="AN92" s="48">
        <v>11845</v>
      </c>
      <c r="AO92" s="48"/>
      <c r="AP92" s="60">
        <f t="shared" si="34"/>
        <v>28504.5</v>
      </c>
      <c r="AQ92" s="49">
        <f t="shared" si="34"/>
        <v>47218</v>
      </c>
      <c r="AR92" s="61"/>
      <c r="AS92" s="49">
        <f t="shared" si="34"/>
        <v>3557</v>
      </c>
      <c r="AT92" s="49">
        <f t="shared" si="34"/>
        <v>6737</v>
      </c>
      <c r="AU92" s="49"/>
      <c r="AV92" s="337">
        <f t="shared" si="34"/>
        <v>32061.5</v>
      </c>
      <c r="AW92" s="53">
        <f t="shared" si="34"/>
        <v>53955</v>
      </c>
      <c r="AX92" s="338"/>
      <c r="AY92" s="49">
        <f t="shared" si="34"/>
        <v>8822</v>
      </c>
      <c r="AZ92" s="49">
        <f t="shared" si="34"/>
        <v>11027</v>
      </c>
      <c r="BA92" s="49"/>
      <c r="BB92" s="339">
        <f t="shared" si="28"/>
        <v>214262.5</v>
      </c>
      <c r="BC92" s="340">
        <f t="shared" si="29"/>
        <v>35710.416666666664</v>
      </c>
      <c r="BD92" s="62">
        <f t="shared" si="27"/>
        <v>55137</v>
      </c>
      <c r="BE92" s="34">
        <v>1910</v>
      </c>
      <c r="BF92" s="56"/>
    </row>
    <row r="93" spans="1:58" s="73" customFormat="1">
      <c r="A93" s="57" t="s">
        <v>249</v>
      </c>
      <c r="B93" s="34" t="s">
        <v>35</v>
      </c>
      <c r="C93" s="34" t="s">
        <v>239</v>
      </c>
      <c r="D93" s="59" t="s">
        <v>240</v>
      </c>
      <c r="E93" s="39" t="s">
        <v>245</v>
      </c>
      <c r="F93" s="237">
        <v>3957700</v>
      </c>
      <c r="G93" s="34" t="s">
        <v>39</v>
      </c>
      <c r="H93" s="34" t="s">
        <v>40</v>
      </c>
      <c r="I93" s="34">
        <v>10</v>
      </c>
      <c r="J93" s="34">
        <v>292</v>
      </c>
      <c r="K93" s="34">
        <f t="shared" si="26"/>
        <v>2920</v>
      </c>
      <c r="L93" s="38" t="s">
        <v>120</v>
      </c>
      <c r="M93" s="38" t="s">
        <v>42</v>
      </c>
      <c r="N93" s="64" t="s">
        <v>43</v>
      </c>
      <c r="O93" s="34" t="s">
        <v>44</v>
      </c>
      <c r="P93" s="58" t="s">
        <v>45</v>
      </c>
      <c r="Q93" s="34" t="s">
        <v>46</v>
      </c>
      <c r="R93" s="68">
        <v>60889</v>
      </c>
      <c r="S93" s="44">
        <v>79541</v>
      </c>
      <c r="T93" s="69"/>
      <c r="U93" s="44">
        <v>33514</v>
      </c>
      <c r="V93" s="44">
        <v>29992</v>
      </c>
      <c r="W93" s="44"/>
      <c r="X93" s="68">
        <f t="shared" si="35"/>
        <v>94403</v>
      </c>
      <c r="Y93" s="44">
        <f t="shared" si="35"/>
        <v>109533</v>
      </c>
      <c r="Z93" s="69"/>
      <c r="AA93" s="44">
        <v>30400</v>
      </c>
      <c r="AB93" s="44">
        <v>29050</v>
      </c>
      <c r="AC93" s="44"/>
      <c r="AD93" s="70">
        <v>60229</v>
      </c>
      <c r="AE93" s="48">
        <v>78689</v>
      </c>
      <c r="AF93" s="71"/>
      <c r="AG93" s="48">
        <v>22676</v>
      </c>
      <c r="AH93" s="48">
        <v>20128</v>
      </c>
      <c r="AI93" s="48"/>
      <c r="AJ93" s="70">
        <f t="shared" si="32"/>
        <v>82905</v>
      </c>
      <c r="AK93" s="48">
        <f t="shared" si="32"/>
        <v>98817</v>
      </c>
      <c r="AL93" s="71">
        <f t="shared" si="32"/>
        <v>0</v>
      </c>
      <c r="AM93" s="48">
        <v>22331</v>
      </c>
      <c r="AN93" s="48">
        <v>21231</v>
      </c>
      <c r="AO93" s="48"/>
      <c r="AP93" s="60">
        <f t="shared" si="34"/>
        <v>60559</v>
      </c>
      <c r="AQ93" s="49">
        <f t="shared" si="34"/>
        <v>79115</v>
      </c>
      <c r="AR93" s="61"/>
      <c r="AS93" s="49">
        <f t="shared" si="34"/>
        <v>28095</v>
      </c>
      <c r="AT93" s="49">
        <f t="shared" si="34"/>
        <v>25060</v>
      </c>
      <c r="AU93" s="49"/>
      <c r="AV93" s="337">
        <f t="shared" si="34"/>
        <v>88654</v>
      </c>
      <c r="AW93" s="53">
        <f t="shared" si="34"/>
        <v>104175</v>
      </c>
      <c r="AX93" s="338"/>
      <c r="AY93" s="49">
        <f t="shared" si="34"/>
        <v>26365.5</v>
      </c>
      <c r="AZ93" s="49">
        <f t="shared" si="34"/>
        <v>25140.5</v>
      </c>
      <c r="BA93" s="49"/>
      <c r="BB93" s="339">
        <f t="shared" si="28"/>
        <v>547445</v>
      </c>
      <c r="BC93" s="340">
        <f t="shared" si="29"/>
        <v>91240.833333333328</v>
      </c>
      <c r="BD93" s="62">
        <f t="shared" si="27"/>
        <v>156968</v>
      </c>
      <c r="BE93" s="34">
        <v>1778</v>
      </c>
      <c r="BF93" s="63"/>
    </row>
    <row r="94" spans="1:58" s="56" customFormat="1">
      <c r="A94" s="356" t="s">
        <v>247</v>
      </c>
      <c r="B94" s="34" t="s">
        <v>132</v>
      </c>
      <c r="C94" s="34" t="s">
        <v>239</v>
      </c>
      <c r="D94" s="59" t="s">
        <v>240</v>
      </c>
      <c r="E94" s="39" t="s">
        <v>245</v>
      </c>
      <c r="F94" s="237">
        <v>3957700</v>
      </c>
      <c r="G94" s="34" t="s">
        <v>39</v>
      </c>
      <c r="H94" s="34" t="s">
        <v>40</v>
      </c>
      <c r="I94" s="34"/>
      <c r="J94" s="34"/>
      <c r="K94" s="34">
        <f t="shared" si="26"/>
        <v>0</v>
      </c>
      <c r="L94" s="38"/>
      <c r="M94" s="38" t="s">
        <v>42</v>
      </c>
      <c r="N94" s="64" t="s">
        <v>43</v>
      </c>
      <c r="O94" s="34" t="s">
        <v>44</v>
      </c>
      <c r="P94" s="58" t="s">
        <v>200</v>
      </c>
      <c r="Q94" s="34" t="s">
        <v>46</v>
      </c>
      <c r="R94" s="68">
        <v>142462</v>
      </c>
      <c r="S94" s="44">
        <v>195377</v>
      </c>
      <c r="T94" s="69"/>
      <c r="U94" s="44">
        <v>138843</v>
      </c>
      <c r="V94" s="44">
        <v>145050</v>
      </c>
      <c r="W94" s="44"/>
      <c r="X94" s="68">
        <f t="shared" si="35"/>
        <v>281305</v>
      </c>
      <c r="Y94" s="44">
        <f t="shared" si="35"/>
        <v>340427</v>
      </c>
      <c r="Z94" s="69"/>
      <c r="AA94" s="44">
        <f>18903+109242</f>
        <v>128145</v>
      </c>
      <c r="AB94" s="44">
        <f>19271+119195</f>
        <v>138466</v>
      </c>
      <c r="AC94" s="44"/>
      <c r="AD94" s="70">
        <v>122862</v>
      </c>
      <c r="AE94" s="48">
        <v>171293</v>
      </c>
      <c r="AF94" s="71"/>
      <c r="AG94" s="48">
        <v>153497</v>
      </c>
      <c r="AH94" s="48">
        <v>168850</v>
      </c>
      <c r="AI94" s="48"/>
      <c r="AJ94" s="70">
        <f t="shared" si="32"/>
        <v>276359</v>
      </c>
      <c r="AK94" s="48">
        <f t="shared" si="32"/>
        <v>340143</v>
      </c>
      <c r="AL94" s="71">
        <f t="shared" si="32"/>
        <v>0</v>
      </c>
      <c r="AM94" s="48">
        <f>12929+145562</f>
        <v>158491</v>
      </c>
      <c r="AN94" s="48">
        <f>13171+155042</f>
        <v>168213</v>
      </c>
      <c r="AO94" s="48"/>
      <c r="AP94" s="60">
        <f t="shared" si="34"/>
        <v>132662</v>
      </c>
      <c r="AQ94" s="49">
        <f t="shared" si="34"/>
        <v>183335</v>
      </c>
      <c r="AR94" s="61"/>
      <c r="AS94" s="49">
        <f t="shared" si="34"/>
        <v>146170</v>
      </c>
      <c r="AT94" s="49">
        <f t="shared" si="34"/>
        <v>156950</v>
      </c>
      <c r="AU94" s="49"/>
      <c r="AV94" s="337">
        <f t="shared" si="34"/>
        <v>278832</v>
      </c>
      <c r="AW94" s="53">
        <f t="shared" si="34"/>
        <v>340285</v>
      </c>
      <c r="AX94" s="338"/>
      <c r="AY94" s="49">
        <f t="shared" si="34"/>
        <v>143318</v>
      </c>
      <c r="AZ94" s="49">
        <f t="shared" si="34"/>
        <v>153339.5</v>
      </c>
      <c r="BA94" s="49"/>
      <c r="BB94" s="339">
        <f t="shared" si="28"/>
        <v>1734445</v>
      </c>
      <c r="BC94" s="340">
        <f t="shared" si="29"/>
        <v>289074.16666666669</v>
      </c>
      <c r="BD94" s="62">
        <f t="shared" si="27"/>
        <v>869929.5</v>
      </c>
      <c r="BE94" s="34">
        <v>1884</v>
      </c>
    </row>
    <row r="95" spans="1:58" s="56" customFormat="1">
      <c r="A95" s="356" t="s">
        <v>244</v>
      </c>
      <c r="B95" s="34" t="s">
        <v>132</v>
      </c>
      <c r="C95" s="34" t="s">
        <v>239</v>
      </c>
      <c r="D95" s="59" t="s">
        <v>240</v>
      </c>
      <c r="E95" s="39" t="s">
        <v>245</v>
      </c>
      <c r="F95" s="237">
        <v>3957700</v>
      </c>
      <c r="G95" s="34" t="s">
        <v>39</v>
      </c>
      <c r="H95" s="34" t="s">
        <v>47</v>
      </c>
      <c r="I95" s="34">
        <v>8</v>
      </c>
      <c r="J95" s="34">
        <v>176</v>
      </c>
      <c r="K95" s="34">
        <f t="shared" si="26"/>
        <v>1408</v>
      </c>
      <c r="L95" s="38" t="s">
        <v>246</v>
      </c>
      <c r="M95" s="38" t="s">
        <v>42</v>
      </c>
      <c r="N95" s="64" t="s">
        <v>43</v>
      </c>
      <c r="O95" s="34" t="s">
        <v>49</v>
      </c>
      <c r="P95" s="58" t="s">
        <v>50</v>
      </c>
      <c r="Q95" s="34" t="s">
        <v>51</v>
      </c>
      <c r="R95" s="60"/>
      <c r="S95" s="49"/>
      <c r="T95" s="61"/>
      <c r="U95" s="49"/>
      <c r="V95" s="49"/>
      <c r="W95" s="49"/>
      <c r="X95" s="60"/>
      <c r="Y95" s="49"/>
      <c r="Z95" s="61"/>
      <c r="AA95" s="49"/>
      <c r="AB95" s="49"/>
      <c r="AC95" s="49"/>
      <c r="AD95" s="60"/>
      <c r="AE95" s="49"/>
      <c r="AF95" s="61"/>
      <c r="AG95" s="49"/>
      <c r="AH95" s="49"/>
      <c r="AI95" s="49"/>
      <c r="AJ95" s="60">
        <f t="shared" si="32"/>
        <v>0</v>
      </c>
      <c r="AK95" s="49">
        <f t="shared" si="32"/>
        <v>0</v>
      </c>
      <c r="AL95" s="61">
        <f t="shared" si="32"/>
        <v>0</v>
      </c>
      <c r="AM95" s="49"/>
      <c r="AN95" s="49"/>
      <c r="AO95" s="49"/>
      <c r="AP95" s="60">
        <v>180332</v>
      </c>
      <c r="AQ95" s="49">
        <v>195943</v>
      </c>
      <c r="AR95" s="61">
        <v>182625</v>
      </c>
      <c r="AS95" s="49">
        <v>51805</v>
      </c>
      <c r="AT95" s="49">
        <v>48014</v>
      </c>
      <c r="AU95" s="49">
        <v>46459</v>
      </c>
      <c r="AV95" s="337">
        <f>AP95+AS95</f>
        <v>232137</v>
      </c>
      <c r="AW95" s="53">
        <f>AQ95+AT95</f>
        <v>243957</v>
      </c>
      <c r="AX95" s="338">
        <f>AR95+AU95</f>
        <v>229084</v>
      </c>
      <c r="AY95" s="49">
        <f>12187+907+26726</f>
        <v>39820</v>
      </c>
      <c r="AZ95" s="49">
        <f>12221+890+27179</f>
        <v>40290</v>
      </c>
      <c r="BA95" s="49">
        <f>12215+890+26292</f>
        <v>39397</v>
      </c>
      <c r="BB95" s="339">
        <f t="shared" si="28"/>
        <v>1633726</v>
      </c>
      <c r="BC95" s="340">
        <f t="shared" si="29"/>
        <v>233389.42857142858</v>
      </c>
      <c r="BD95" s="62">
        <f t="shared" si="27"/>
        <v>278787</v>
      </c>
      <c r="BE95" s="34">
        <v>1964</v>
      </c>
    </row>
    <row r="96" spans="1:58" s="56" customFormat="1">
      <c r="A96" s="356" t="s">
        <v>252</v>
      </c>
      <c r="B96" s="34" t="s">
        <v>132</v>
      </c>
      <c r="C96" s="34" t="s">
        <v>239</v>
      </c>
      <c r="D96" s="59" t="s">
        <v>240</v>
      </c>
      <c r="E96" s="39" t="s">
        <v>245</v>
      </c>
      <c r="F96" s="237">
        <v>3957700</v>
      </c>
      <c r="G96" s="34" t="s">
        <v>39</v>
      </c>
      <c r="H96" s="34" t="s">
        <v>47</v>
      </c>
      <c r="I96" s="34">
        <v>6</v>
      </c>
      <c r="J96" s="34">
        <v>160</v>
      </c>
      <c r="K96" s="34">
        <f t="shared" si="26"/>
        <v>960</v>
      </c>
      <c r="L96" s="34"/>
      <c r="M96" s="34" t="s">
        <v>53</v>
      </c>
      <c r="N96" s="64" t="s">
        <v>43</v>
      </c>
      <c r="O96" s="34" t="s">
        <v>54</v>
      </c>
      <c r="P96" s="58" t="s">
        <v>50</v>
      </c>
      <c r="Q96" s="34" t="s">
        <v>51</v>
      </c>
      <c r="R96" s="35"/>
      <c r="S96" s="34"/>
      <c r="T96" s="64"/>
      <c r="U96" s="34"/>
      <c r="V96" s="34"/>
      <c r="W96" s="34"/>
      <c r="X96" s="35"/>
      <c r="Y96" s="34"/>
      <c r="Z96" s="64"/>
      <c r="AA96" s="34"/>
      <c r="AB96" s="34"/>
      <c r="AC96" s="34"/>
      <c r="AD96" s="35"/>
      <c r="AE96" s="34"/>
      <c r="AF96" s="64"/>
      <c r="AG96" s="34"/>
      <c r="AH96" s="34"/>
      <c r="AI96" s="34"/>
      <c r="AJ96" s="35"/>
      <c r="AK96" s="34"/>
      <c r="AL96" s="64"/>
      <c r="AM96" s="34"/>
      <c r="AN96" s="34"/>
      <c r="AO96" s="34"/>
      <c r="AP96" s="35"/>
      <c r="AQ96" s="34"/>
      <c r="AR96" s="64"/>
      <c r="AS96" s="49">
        <f>((150239*4)+150237)/5</f>
        <v>150238.6</v>
      </c>
      <c r="AT96" s="49"/>
      <c r="AU96" s="49"/>
      <c r="AV96" s="337">
        <f>AP96+AS96</f>
        <v>150238.6</v>
      </c>
      <c r="AW96" s="53"/>
      <c r="AX96" s="338"/>
      <c r="AY96" s="34"/>
      <c r="AZ96" s="34"/>
      <c r="BA96" s="34"/>
      <c r="BB96" s="339">
        <f t="shared" si="28"/>
        <v>751193</v>
      </c>
      <c r="BC96" s="340">
        <f t="shared" si="29"/>
        <v>150238.6</v>
      </c>
      <c r="BD96" s="62">
        <f t="shared" si="27"/>
        <v>0</v>
      </c>
      <c r="BE96" s="66">
        <v>2001</v>
      </c>
    </row>
    <row r="97" spans="1:58" s="73" customFormat="1">
      <c r="A97" s="88" t="s">
        <v>250</v>
      </c>
      <c r="B97" s="75" t="s">
        <v>132</v>
      </c>
      <c r="C97" s="75" t="s">
        <v>239</v>
      </c>
      <c r="D97" s="81" t="s">
        <v>240</v>
      </c>
      <c r="E97" s="80" t="s">
        <v>245</v>
      </c>
      <c r="F97" s="343">
        <v>3957700</v>
      </c>
      <c r="G97" s="75" t="s">
        <v>39</v>
      </c>
      <c r="H97" s="75" t="s">
        <v>47</v>
      </c>
      <c r="I97" s="75">
        <v>6</v>
      </c>
      <c r="J97" s="75">
        <v>196</v>
      </c>
      <c r="K97" s="75">
        <f t="shared" si="26"/>
        <v>1176</v>
      </c>
      <c r="L97" s="79"/>
      <c r="M97" s="38" t="s">
        <v>53</v>
      </c>
      <c r="N97" s="98" t="s">
        <v>43</v>
      </c>
      <c r="O97" s="75" t="s">
        <v>54</v>
      </c>
      <c r="P97" s="77" t="s">
        <v>147</v>
      </c>
      <c r="Q97" s="75" t="s">
        <v>51</v>
      </c>
      <c r="R97" s="82"/>
      <c r="S97" s="83"/>
      <c r="T97" s="84"/>
      <c r="U97" s="83"/>
      <c r="V97" s="83"/>
      <c r="W97" s="83"/>
      <c r="X97" s="82"/>
      <c r="Y97" s="83"/>
      <c r="Z97" s="84"/>
      <c r="AA97" s="83"/>
      <c r="AB97" s="83"/>
      <c r="AC97" s="83"/>
      <c r="AD97" s="82"/>
      <c r="AE97" s="83"/>
      <c r="AF97" s="84"/>
      <c r="AG97" s="83"/>
      <c r="AH97" s="83"/>
      <c r="AI97" s="83"/>
      <c r="AJ97" s="82"/>
      <c r="AK97" s="83"/>
      <c r="AL97" s="84"/>
      <c r="AM97" s="83"/>
      <c r="AN97" s="83"/>
      <c r="AO97" s="83"/>
      <c r="AP97" s="82"/>
      <c r="AQ97" s="83"/>
      <c r="AR97" s="84"/>
      <c r="AS97" s="83">
        <v>172002</v>
      </c>
      <c r="AT97" s="83"/>
      <c r="AU97" s="83"/>
      <c r="AV97" s="344">
        <f>AP97+AS97</f>
        <v>172002</v>
      </c>
      <c r="AW97" s="85"/>
      <c r="AX97" s="348"/>
      <c r="AY97" s="83"/>
      <c r="AZ97" s="83"/>
      <c r="BA97" s="83"/>
      <c r="BB97" s="345">
        <f t="shared" si="28"/>
        <v>860010</v>
      </c>
      <c r="BC97" s="346">
        <f t="shared" si="29"/>
        <v>172002</v>
      </c>
      <c r="BD97" s="87">
        <f t="shared" si="27"/>
        <v>0</v>
      </c>
      <c r="BE97" s="81">
        <v>2001</v>
      </c>
    </row>
    <row r="98" spans="1:58" s="73" customFormat="1">
      <c r="A98" s="57" t="s">
        <v>255</v>
      </c>
      <c r="B98" s="34" t="s">
        <v>132</v>
      </c>
      <c r="C98" s="34" t="s">
        <v>239</v>
      </c>
      <c r="D98" s="59" t="s">
        <v>240</v>
      </c>
      <c r="E98" s="39" t="s">
        <v>254</v>
      </c>
      <c r="F98" s="237">
        <v>769600</v>
      </c>
      <c r="G98" s="34" t="s">
        <v>127</v>
      </c>
      <c r="H98" s="34" t="s">
        <v>47</v>
      </c>
      <c r="I98" s="34">
        <v>10</v>
      </c>
      <c r="J98" s="34">
        <v>195</v>
      </c>
      <c r="K98" s="34">
        <f t="shared" si="26"/>
        <v>1950</v>
      </c>
      <c r="L98" s="38"/>
      <c r="M98" s="38" t="s">
        <v>42</v>
      </c>
      <c r="N98" s="64" t="s">
        <v>43</v>
      </c>
      <c r="O98" s="34" t="s">
        <v>49</v>
      </c>
      <c r="P98" s="58" t="s">
        <v>200</v>
      </c>
      <c r="Q98" s="34" t="s">
        <v>46</v>
      </c>
      <c r="R98" s="68">
        <v>70904</v>
      </c>
      <c r="S98" s="44">
        <v>84537</v>
      </c>
      <c r="T98" s="69">
        <v>75626</v>
      </c>
      <c r="U98" s="44">
        <v>6098</v>
      </c>
      <c r="V98" s="44">
        <v>13021</v>
      </c>
      <c r="W98" s="44">
        <v>5763</v>
      </c>
      <c r="X98" s="68">
        <f>R98+U98</f>
        <v>77002</v>
      </c>
      <c r="Y98" s="44">
        <f>S98+V98</f>
        <v>97558</v>
      </c>
      <c r="Z98" s="69">
        <f>T98+W98</f>
        <v>81389</v>
      </c>
      <c r="AA98" s="44">
        <v>9685</v>
      </c>
      <c r="AB98" s="44">
        <v>9705</v>
      </c>
      <c r="AC98" s="44">
        <v>9707</v>
      </c>
      <c r="AD98" s="70">
        <v>66857</v>
      </c>
      <c r="AE98" s="48">
        <v>78366</v>
      </c>
      <c r="AF98" s="71">
        <v>71377</v>
      </c>
      <c r="AG98" s="48">
        <v>6888</v>
      </c>
      <c r="AH98" s="48">
        <v>16823</v>
      </c>
      <c r="AI98" s="48">
        <v>7370</v>
      </c>
      <c r="AJ98" s="70">
        <f t="shared" ref="AJ98:AL107" si="36">AD98+AG98</f>
        <v>73745</v>
      </c>
      <c r="AK98" s="48">
        <f t="shared" si="36"/>
        <v>95189</v>
      </c>
      <c r="AL98" s="71">
        <f t="shared" si="36"/>
        <v>78747</v>
      </c>
      <c r="AM98" s="48">
        <v>8632</v>
      </c>
      <c r="AN98" s="48">
        <v>8797</v>
      </c>
      <c r="AO98" s="48">
        <v>8759</v>
      </c>
      <c r="AP98" s="60">
        <f t="shared" ref="AP98:BA98" si="37">AVERAGE(R98,AD98)</f>
        <v>68880.5</v>
      </c>
      <c r="AQ98" s="49">
        <f t="shared" si="37"/>
        <v>81451.5</v>
      </c>
      <c r="AR98" s="61">
        <f t="shared" si="37"/>
        <v>73501.5</v>
      </c>
      <c r="AS98" s="49">
        <f t="shared" si="37"/>
        <v>6493</v>
      </c>
      <c r="AT98" s="49">
        <f t="shared" si="37"/>
        <v>14922</v>
      </c>
      <c r="AU98" s="49">
        <f t="shared" si="37"/>
        <v>6566.5</v>
      </c>
      <c r="AV98" s="337">
        <f t="shared" si="37"/>
        <v>75373.5</v>
      </c>
      <c r="AW98" s="53">
        <f t="shared" si="37"/>
        <v>96373.5</v>
      </c>
      <c r="AX98" s="338">
        <f t="shared" si="37"/>
        <v>80068</v>
      </c>
      <c r="AY98" s="49">
        <f t="shared" si="37"/>
        <v>9158.5</v>
      </c>
      <c r="AZ98" s="49">
        <f t="shared" si="37"/>
        <v>9251</v>
      </c>
      <c r="BA98" s="49">
        <f t="shared" si="37"/>
        <v>9233</v>
      </c>
      <c r="BB98" s="339">
        <f t="shared" si="28"/>
        <v>553309</v>
      </c>
      <c r="BC98" s="340">
        <f t="shared" si="29"/>
        <v>79044.142857142855</v>
      </c>
      <c r="BD98" s="62">
        <f t="shared" si="27"/>
        <v>64276.5</v>
      </c>
      <c r="BE98" s="59">
        <v>1896</v>
      </c>
      <c r="BF98" s="56"/>
    </row>
    <row r="99" spans="1:58" s="74" customFormat="1">
      <c r="A99" s="57" t="s">
        <v>253</v>
      </c>
      <c r="B99" s="34" t="s">
        <v>132</v>
      </c>
      <c r="C99" s="34" t="s">
        <v>239</v>
      </c>
      <c r="D99" s="59" t="s">
        <v>240</v>
      </c>
      <c r="E99" s="39" t="s">
        <v>254</v>
      </c>
      <c r="F99" s="237">
        <v>769600</v>
      </c>
      <c r="G99" s="34" t="s">
        <v>127</v>
      </c>
      <c r="H99" s="34" t="s">
        <v>47</v>
      </c>
      <c r="I99" s="34">
        <v>8</v>
      </c>
      <c r="J99" s="34">
        <v>176</v>
      </c>
      <c r="K99" s="34">
        <f t="shared" si="26"/>
        <v>1408</v>
      </c>
      <c r="L99" s="38" t="s">
        <v>246</v>
      </c>
      <c r="M99" s="38" t="s">
        <v>42</v>
      </c>
      <c r="N99" s="64" t="s">
        <v>43</v>
      </c>
      <c r="O99" s="34" t="s">
        <v>49</v>
      </c>
      <c r="P99" s="58" t="s">
        <v>50</v>
      </c>
      <c r="Q99" s="34" t="s">
        <v>51</v>
      </c>
      <c r="R99" s="60"/>
      <c r="S99" s="49"/>
      <c r="T99" s="61"/>
      <c r="U99" s="49"/>
      <c r="V99" s="49"/>
      <c r="W99" s="49"/>
      <c r="X99" s="60"/>
      <c r="Y99" s="49"/>
      <c r="Z99" s="61"/>
      <c r="AA99" s="49"/>
      <c r="AB99" s="49"/>
      <c r="AC99" s="49"/>
      <c r="AD99" s="60"/>
      <c r="AE99" s="49"/>
      <c r="AF99" s="61"/>
      <c r="AG99" s="49"/>
      <c r="AH99" s="49"/>
      <c r="AI99" s="49"/>
      <c r="AJ99" s="60">
        <f t="shared" si="36"/>
        <v>0</v>
      </c>
      <c r="AK99" s="49">
        <f t="shared" si="36"/>
        <v>0</v>
      </c>
      <c r="AL99" s="61">
        <f t="shared" si="36"/>
        <v>0</v>
      </c>
      <c r="AM99" s="49"/>
      <c r="AN99" s="49"/>
      <c r="AO99" s="49"/>
      <c r="AP99" s="60">
        <v>82048</v>
      </c>
      <c r="AQ99" s="49">
        <v>89989</v>
      </c>
      <c r="AR99" s="61">
        <v>82537</v>
      </c>
      <c r="AS99" s="49">
        <v>67587</v>
      </c>
      <c r="AT99" s="49">
        <v>67673</v>
      </c>
      <c r="AU99" s="49">
        <v>67116</v>
      </c>
      <c r="AV99" s="337">
        <f>AP99+AS99</f>
        <v>149635</v>
      </c>
      <c r="AW99" s="53">
        <f>AQ99+AT99</f>
        <v>157662</v>
      </c>
      <c r="AX99" s="338">
        <f>AR99+AU99</f>
        <v>149653</v>
      </c>
      <c r="AY99" s="49">
        <f>8926+52757</f>
        <v>61683</v>
      </c>
      <c r="AZ99" s="49">
        <f>9017+52357</f>
        <v>61374</v>
      </c>
      <c r="BA99" s="49">
        <f>9018+52308</f>
        <v>61326</v>
      </c>
      <c r="BB99" s="339">
        <f t="shared" si="28"/>
        <v>1055490</v>
      </c>
      <c r="BC99" s="340">
        <f t="shared" si="29"/>
        <v>150784.28571428571</v>
      </c>
      <c r="BD99" s="62">
        <f t="shared" si="27"/>
        <v>431115</v>
      </c>
      <c r="BE99" s="59">
        <v>1967</v>
      </c>
      <c r="BF99" s="56"/>
    </row>
    <row r="100" spans="1:58" s="73" customFormat="1">
      <c r="A100" s="88" t="s">
        <v>258</v>
      </c>
      <c r="B100" s="75" t="s">
        <v>35</v>
      </c>
      <c r="C100" s="75" t="s">
        <v>239</v>
      </c>
      <c r="D100" s="81" t="s">
        <v>240</v>
      </c>
      <c r="E100" s="80" t="s">
        <v>257</v>
      </c>
      <c r="F100" s="343">
        <v>203500</v>
      </c>
      <c r="G100" s="75" t="s">
        <v>68</v>
      </c>
      <c r="H100" s="75" t="s">
        <v>47</v>
      </c>
      <c r="I100" s="75">
        <v>8</v>
      </c>
      <c r="J100" s="75">
        <v>195</v>
      </c>
      <c r="K100" s="75">
        <f t="shared" si="26"/>
        <v>1560</v>
      </c>
      <c r="L100" s="79"/>
      <c r="M100" s="79" t="s">
        <v>42</v>
      </c>
      <c r="N100" s="98" t="s">
        <v>43</v>
      </c>
      <c r="O100" s="75" t="s">
        <v>54</v>
      </c>
      <c r="P100" s="77" t="s">
        <v>70</v>
      </c>
      <c r="Q100" s="75" t="s">
        <v>114</v>
      </c>
      <c r="R100" s="82">
        <v>4294</v>
      </c>
      <c r="S100" s="83"/>
      <c r="T100" s="84"/>
      <c r="U100" s="83">
        <v>0</v>
      </c>
      <c r="V100" s="83"/>
      <c r="W100" s="83"/>
      <c r="X100" s="82">
        <f>R100+U100</f>
        <v>4294</v>
      </c>
      <c r="Y100" s="83">
        <f>S100+V100</f>
        <v>0</v>
      </c>
      <c r="Z100" s="84">
        <f>T100+W100</f>
        <v>0</v>
      </c>
      <c r="AA100" s="83"/>
      <c r="AB100" s="83"/>
      <c r="AC100" s="83"/>
      <c r="AD100" s="82">
        <v>4003</v>
      </c>
      <c r="AE100" s="83"/>
      <c r="AF100" s="84"/>
      <c r="AG100" s="83">
        <v>389</v>
      </c>
      <c r="AH100" s="83"/>
      <c r="AI100" s="83"/>
      <c r="AJ100" s="82">
        <f t="shared" si="36"/>
        <v>4392</v>
      </c>
      <c r="AK100" s="83">
        <f t="shared" si="36"/>
        <v>0</v>
      </c>
      <c r="AL100" s="84">
        <f t="shared" si="36"/>
        <v>0</v>
      </c>
      <c r="AM100" s="83">
        <v>261</v>
      </c>
      <c r="AN100" s="83"/>
      <c r="AO100" s="83"/>
      <c r="AP100" s="82">
        <f>AVERAGE(R100,AD100)</f>
        <v>4148.5</v>
      </c>
      <c r="AQ100" s="83"/>
      <c r="AR100" s="84"/>
      <c r="AS100" s="83">
        <f>AVERAGE(U100,AG100)</f>
        <v>194.5</v>
      </c>
      <c r="AT100" s="83"/>
      <c r="AU100" s="83"/>
      <c r="AV100" s="344">
        <f>AVERAGE(X100,AJ100)</f>
        <v>4343</v>
      </c>
      <c r="AW100" s="85"/>
      <c r="AX100" s="348"/>
      <c r="AY100" s="83">
        <f>AVERAGE(AA100,AM100)</f>
        <v>261</v>
      </c>
      <c r="AZ100" s="83"/>
      <c r="BA100" s="83"/>
      <c r="BB100" s="345">
        <f t="shared" si="28"/>
        <v>21715</v>
      </c>
      <c r="BC100" s="346">
        <f t="shared" si="29"/>
        <v>4343</v>
      </c>
      <c r="BD100" s="87">
        <f t="shared" si="27"/>
        <v>1305</v>
      </c>
      <c r="BE100" s="81">
        <v>1897</v>
      </c>
    </row>
    <row r="101" spans="1:58" s="73" customFormat="1">
      <c r="A101" s="57" t="s">
        <v>256</v>
      </c>
      <c r="B101" s="34" t="s">
        <v>132</v>
      </c>
      <c r="C101" s="34" t="s">
        <v>239</v>
      </c>
      <c r="D101" s="59" t="s">
        <v>240</v>
      </c>
      <c r="E101" s="39" t="s">
        <v>257</v>
      </c>
      <c r="F101" s="237">
        <v>203500</v>
      </c>
      <c r="G101" s="34" t="s">
        <v>68</v>
      </c>
      <c r="H101" s="34" t="s">
        <v>47</v>
      </c>
      <c r="I101" s="34">
        <v>10</v>
      </c>
      <c r="J101" s="34">
        <v>195</v>
      </c>
      <c r="K101" s="34">
        <f t="shared" si="26"/>
        <v>1950</v>
      </c>
      <c r="L101" s="38"/>
      <c r="M101" s="38" t="s">
        <v>42</v>
      </c>
      <c r="N101" s="64" t="s">
        <v>43</v>
      </c>
      <c r="O101" s="34" t="s">
        <v>44</v>
      </c>
      <c r="P101" s="58" t="s">
        <v>200</v>
      </c>
      <c r="Q101" s="34" t="s">
        <v>46</v>
      </c>
      <c r="R101" s="68">
        <v>27075</v>
      </c>
      <c r="S101" s="44">
        <v>32551</v>
      </c>
      <c r="T101" s="69"/>
      <c r="U101" s="44">
        <v>4092</v>
      </c>
      <c r="V101" s="44">
        <v>1305</v>
      </c>
      <c r="W101" s="44"/>
      <c r="X101" s="68">
        <f>R101+U101</f>
        <v>31167</v>
      </c>
      <c r="Y101" s="44">
        <f>S101+V101</f>
        <v>33856</v>
      </c>
      <c r="Z101" s="69"/>
      <c r="AA101" s="44">
        <v>1718</v>
      </c>
      <c r="AB101" s="44">
        <v>3253</v>
      </c>
      <c r="AC101" s="44"/>
      <c r="AD101" s="70">
        <v>25308</v>
      </c>
      <c r="AE101" s="48">
        <v>31808</v>
      </c>
      <c r="AF101" s="71"/>
      <c r="AG101" s="48">
        <v>2915</v>
      </c>
      <c r="AH101" s="48">
        <v>956</v>
      </c>
      <c r="AI101" s="48"/>
      <c r="AJ101" s="70">
        <f t="shared" si="36"/>
        <v>28223</v>
      </c>
      <c r="AK101" s="48">
        <f t="shared" si="36"/>
        <v>32764</v>
      </c>
      <c r="AL101" s="71">
        <f t="shared" si="36"/>
        <v>0</v>
      </c>
      <c r="AM101" s="48">
        <v>1657</v>
      </c>
      <c r="AN101" s="48">
        <v>3072</v>
      </c>
      <c r="AO101" s="48"/>
      <c r="AP101" s="60">
        <f>AVERAGE(R101,AD101)</f>
        <v>26191.5</v>
      </c>
      <c r="AQ101" s="49">
        <f>AVERAGE(S101,AE101)</f>
        <v>32179.5</v>
      </c>
      <c r="AR101" s="61"/>
      <c r="AS101" s="49">
        <f>AVERAGE(U101,AG101)</f>
        <v>3503.5</v>
      </c>
      <c r="AT101" s="49">
        <f>AVERAGE(V101,AH101)</f>
        <v>1130.5</v>
      </c>
      <c r="AU101" s="49"/>
      <c r="AV101" s="337">
        <f>AVERAGE(X101,AJ101)</f>
        <v>29695</v>
      </c>
      <c r="AW101" s="53">
        <f>AVERAGE(Y101,AK101)</f>
        <v>33310</v>
      </c>
      <c r="AX101" s="338"/>
      <c r="AY101" s="49">
        <f>AVERAGE(AA101,AM101)</f>
        <v>1687.5</v>
      </c>
      <c r="AZ101" s="49">
        <f>AVERAGE(AB101,AN101)</f>
        <v>3162.5</v>
      </c>
      <c r="BA101" s="49"/>
      <c r="BB101" s="339">
        <f t="shared" si="28"/>
        <v>181785</v>
      </c>
      <c r="BC101" s="340">
        <f t="shared" si="29"/>
        <v>30297.5</v>
      </c>
      <c r="BD101" s="62">
        <f t="shared" si="27"/>
        <v>11600</v>
      </c>
      <c r="BE101" s="59">
        <v>1910</v>
      </c>
      <c r="BF101" s="56"/>
    </row>
    <row r="102" spans="1:58" s="73" customFormat="1">
      <c r="A102" s="57" t="s">
        <v>259</v>
      </c>
      <c r="B102" s="34" t="s">
        <v>132</v>
      </c>
      <c r="C102" s="34" t="s">
        <v>239</v>
      </c>
      <c r="D102" s="59" t="s">
        <v>240</v>
      </c>
      <c r="E102" s="39" t="s">
        <v>260</v>
      </c>
      <c r="F102" s="237">
        <v>148300</v>
      </c>
      <c r="G102" s="34" t="s">
        <v>68</v>
      </c>
      <c r="H102" s="34" t="s">
        <v>40</v>
      </c>
      <c r="I102" s="34">
        <v>10</v>
      </c>
      <c r="J102" s="34">
        <v>200</v>
      </c>
      <c r="K102" s="34">
        <f t="shared" si="26"/>
        <v>2000</v>
      </c>
      <c r="L102" s="38"/>
      <c r="M102" s="38" t="s">
        <v>42</v>
      </c>
      <c r="N102" s="64" t="s">
        <v>43</v>
      </c>
      <c r="O102" s="34" t="s">
        <v>44</v>
      </c>
      <c r="P102" s="58" t="s">
        <v>200</v>
      </c>
      <c r="Q102" s="34" t="s">
        <v>46</v>
      </c>
      <c r="R102" s="68">
        <v>35634</v>
      </c>
      <c r="S102" s="44">
        <v>35245</v>
      </c>
      <c r="T102" s="69"/>
      <c r="U102" s="44">
        <v>8728</v>
      </c>
      <c r="V102" s="44">
        <v>10227</v>
      </c>
      <c r="W102" s="44"/>
      <c r="X102" s="68">
        <f>R102+U102</f>
        <v>44362</v>
      </c>
      <c r="Y102" s="44">
        <f>S102+V102</f>
        <v>45472</v>
      </c>
      <c r="Z102" s="69"/>
      <c r="AA102" s="44">
        <v>6545</v>
      </c>
      <c r="AB102" s="44">
        <v>8891</v>
      </c>
      <c r="AC102" s="44"/>
      <c r="AD102" s="70">
        <v>37221</v>
      </c>
      <c r="AE102" s="48">
        <v>41377</v>
      </c>
      <c r="AF102" s="71"/>
      <c r="AG102" s="48">
        <v>3309</v>
      </c>
      <c r="AH102" s="48">
        <v>1821</v>
      </c>
      <c r="AI102" s="48"/>
      <c r="AJ102" s="70">
        <f t="shared" si="36"/>
        <v>40530</v>
      </c>
      <c r="AK102" s="48">
        <f t="shared" si="36"/>
        <v>43198</v>
      </c>
      <c r="AL102" s="71">
        <f t="shared" si="36"/>
        <v>0</v>
      </c>
      <c r="AM102" s="48">
        <v>6388</v>
      </c>
      <c r="AN102" s="48">
        <v>8738</v>
      </c>
      <c r="AO102" s="48"/>
      <c r="AP102" s="60">
        <f>AVERAGE(R102,AD102)</f>
        <v>36427.5</v>
      </c>
      <c r="AQ102" s="49">
        <f>AVERAGE(S102,AE102)</f>
        <v>38311</v>
      </c>
      <c r="AR102" s="61"/>
      <c r="AS102" s="49">
        <f>AVERAGE(U102,AG102)</f>
        <v>6018.5</v>
      </c>
      <c r="AT102" s="49">
        <f>AVERAGE(V102,AH102)</f>
        <v>6024</v>
      </c>
      <c r="AU102" s="49"/>
      <c r="AV102" s="337">
        <f>AVERAGE(X102,AJ102)</f>
        <v>42446</v>
      </c>
      <c r="AW102" s="53">
        <f>AVERAGE(Y102,AK102)</f>
        <v>44335</v>
      </c>
      <c r="AX102" s="338"/>
      <c r="AY102" s="49">
        <f>AVERAGE(AA102,AM102)</f>
        <v>6466.5</v>
      </c>
      <c r="AZ102" s="49">
        <f>AVERAGE(AB102,AN102)</f>
        <v>8814.5</v>
      </c>
      <c r="BA102" s="49"/>
      <c r="BB102" s="339">
        <f t="shared" si="28"/>
        <v>256565</v>
      </c>
      <c r="BC102" s="340">
        <f t="shared" si="29"/>
        <v>42760.833333333336</v>
      </c>
      <c r="BD102" s="62">
        <f t="shared" si="27"/>
        <v>41147</v>
      </c>
      <c r="BE102" s="59">
        <v>1920</v>
      </c>
      <c r="BF102" s="56"/>
    </row>
    <row r="103" spans="1:58" s="97" customFormat="1">
      <c r="A103" s="88" t="s">
        <v>261</v>
      </c>
      <c r="B103" s="75" t="s">
        <v>35</v>
      </c>
      <c r="C103" s="75" t="s">
        <v>36</v>
      </c>
      <c r="D103" s="81" t="s">
        <v>262</v>
      </c>
      <c r="E103" s="80" t="s">
        <v>263</v>
      </c>
      <c r="F103" s="343">
        <v>34421</v>
      </c>
      <c r="G103" s="75" t="s">
        <v>82</v>
      </c>
      <c r="H103" s="75" t="s">
        <v>40</v>
      </c>
      <c r="I103" s="75">
        <v>10</v>
      </c>
      <c r="J103" s="75">
        <v>301</v>
      </c>
      <c r="K103" s="75">
        <f t="shared" si="26"/>
        <v>3010</v>
      </c>
      <c r="L103" s="79"/>
      <c r="M103" s="79" t="s">
        <v>42</v>
      </c>
      <c r="N103" s="98" t="s">
        <v>64</v>
      </c>
      <c r="O103" s="75" t="s">
        <v>44</v>
      </c>
      <c r="P103" s="77" t="s">
        <v>147</v>
      </c>
      <c r="Q103" s="75" t="s">
        <v>114</v>
      </c>
      <c r="R103" s="82"/>
      <c r="S103" s="83"/>
      <c r="T103" s="84"/>
      <c r="U103" s="83"/>
      <c r="V103" s="83"/>
      <c r="W103" s="83"/>
      <c r="X103" s="82"/>
      <c r="Y103" s="83"/>
      <c r="Z103" s="84"/>
      <c r="AA103" s="83"/>
      <c r="AB103" s="83"/>
      <c r="AC103" s="83"/>
      <c r="AD103" s="82"/>
      <c r="AE103" s="83"/>
      <c r="AF103" s="84"/>
      <c r="AG103" s="83"/>
      <c r="AH103" s="83"/>
      <c r="AI103" s="83"/>
      <c r="AJ103" s="82">
        <f t="shared" si="36"/>
        <v>0</v>
      </c>
      <c r="AK103" s="83">
        <f t="shared" si="36"/>
        <v>0</v>
      </c>
      <c r="AL103" s="84">
        <f t="shared" si="36"/>
        <v>0</v>
      </c>
      <c r="AM103" s="83"/>
      <c r="AN103" s="83"/>
      <c r="AO103" s="83"/>
      <c r="AP103" s="82">
        <f>3944+98</f>
        <v>4042</v>
      </c>
      <c r="AQ103" s="83">
        <f>3944+98</f>
        <v>4042</v>
      </c>
      <c r="AR103" s="84"/>
      <c r="AS103" s="83">
        <f>3944+6839</f>
        <v>10783</v>
      </c>
      <c r="AT103" s="83">
        <f>3944+6839</f>
        <v>10783</v>
      </c>
      <c r="AU103" s="83"/>
      <c r="AV103" s="344">
        <f>AP103+AS103</f>
        <v>14825</v>
      </c>
      <c r="AW103" s="85">
        <f>AQ103+AT103</f>
        <v>14825</v>
      </c>
      <c r="AX103" s="348"/>
      <c r="AY103" s="83">
        <f>98+6839</f>
        <v>6937</v>
      </c>
      <c r="AZ103" s="83">
        <f>98+6839</f>
        <v>6937</v>
      </c>
      <c r="BA103" s="83"/>
      <c r="BB103" s="345">
        <f t="shared" si="28"/>
        <v>88950</v>
      </c>
      <c r="BC103" s="346">
        <f t="shared" si="29"/>
        <v>14825</v>
      </c>
      <c r="BD103" s="87">
        <f t="shared" si="27"/>
        <v>41622</v>
      </c>
      <c r="BE103" s="81">
        <v>1889</v>
      </c>
      <c r="BF103" s="73"/>
    </row>
    <row r="104" spans="1:58" s="73" customFormat="1">
      <c r="A104" s="88" t="s">
        <v>264</v>
      </c>
      <c r="B104" s="75" t="s">
        <v>35</v>
      </c>
      <c r="C104" s="75" t="s">
        <v>36</v>
      </c>
      <c r="D104" s="81" t="s">
        <v>262</v>
      </c>
      <c r="E104" s="80" t="s">
        <v>265</v>
      </c>
      <c r="F104" s="343">
        <v>42673</v>
      </c>
      <c r="G104" s="75" t="s">
        <v>82</v>
      </c>
      <c r="H104" s="75" t="s">
        <v>40</v>
      </c>
      <c r="I104" s="75">
        <v>6</v>
      </c>
      <c r="J104" s="75">
        <v>301</v>
      </c>
      <c r="K104" s="75">
        <f t="shared" si="26"/>
        <v>1806</v>
      </c>
      <c r="L104" s="79" t="s">
        <v>307</v>
      </c>
      <c r="M104" s="79" t="s">
        <v>42</v>
      </c>
      <c r="N104" s="98" t="s">
        <v>43</v>
      </c>
      <c r="O104" s="75" t="s">
        <v>44</v>
      </c>
      <c r="P104" s="77" t="s">
        <v>147</v>
      </c>
      <c r="Q104" s="75" t="s">
        <v>51</v>
      </c>
      <c r="R104" s="82"/>
      <c r="S104" s="83"/>
      <c r="T104" s="84"/>
      <c r="U104" s="83"/>
      <c r="V104" s="83"/>
      <c r="W104" s="83"/>
      <c r="X104" s="82"/>
      <c r="Y104" s="83"/>
      <c r="Z104" s="84"/>
      <c r="AA104" s="83"/>
      <c r="AB104" s="83"/>
      <c r="AC104" s="83"/>
      <c r="AD104" s="82"/>
      <c r="AE104" s="83"/>
      <c r="AF104" s="84"/>
      <c r="AG104" s="83"/>
      <c r="AH104" s="83"/>
      <c r="AI104" s="83"/>
      <c r="AJ104" s="82">
        <f t="shared" si="36"/>
        <v>0</v>
      </c>
      <c r="AK104" s="83">
        <f t="shared" si="36"/>
        <v>0</v>
      </c>
      <c r="AL104" s="84">
        <f t="shared" si="36"/>
        <v>0</v>
      </c>
      <c r="AM104" s="83"/>
      <c r="AN104" s="83"/>
      <c r="AO104" s="83"/>
      <c r="AP104" s="82">
        <v>5197</v>
      </c>
      <c r="AQ104" s="83">
        <v>5440</v>
      </c>
      <c r="AR104" s="84"/>
      <c r="AS104" s="83"/>
      <c r="AT104" s="83"/>
      <c r="AU104" s="83"/>
      <c r="AV104" s="344">
        <f>AP104+AS104</f>
        <v>5197</v>
      </c>
      <c r="AW104" s="85">
        <f>AQ104+AT104</f>
        <v>5440</v>
      </c>
      <c r="AX104" s="348"/>
      <c r="AY104" s="83"/>
      <c r="AZ104" s="83"/>
      <c r="BA104" s="83"/>
      <c r="BB104" s="345">
        <f t="shared" si="28"/>
        <v>31425</v>
      </c>
      <c r="BC104" s="346">
        <f t="shared" si="29"/>
        <v>5237.5</v>
      </c>
      <c r="BD104" s="87">
        <f t="shared" si="27"/>
        <v>0</v>
      </c>
      <c r="BE104" s="81">
        <v>1917</v>
      </c>
    </row>
    <row r="105" spans="1:58" s="73" customFormat="1">
      <c r="A105" s="57" t="s">
        <v>266</v>
      </c>
      <c r="B105" s="34" t="s">
        <v>35</v>
      </c>
      <c r="C105" s="34" t="s">
        <v>36</v>
      </c>
      <c r="D105" s="59" t="s">
        <v>262</v>
      </c>
      <c r="E105" s="39" t="s">
        <v>267</v>
      </c>
      <c r="F105" s="237">
        <v>226300</v>
      </c>
      <c r="G105" s="34" t="s">
        <v>68</v>
      </c>
      <c r="H105" s="34" t="s">
        <v>40</v>
      </c>
      <c r="I105" s="34">
        <v>10</v>
      </c>
      <c r="J105" s="34">
        <v>300</v>
      </c>
      <c r="K105" s="34">
        <f t="shared" si="26"/>
        <v>3000</v>
      </c>
      <c r="L105" s="38" t="s">
        <v>41</v>
      </c>
      <c r="M105" s="38" t="s">
        <v>42</v>
      </c>
      <c r="N105" s="64" t="s">
        <v>43</v>
      </c>
      <c r="O105" s="34" t="s">
        <v>44</v>
      </c>
      <c r="P105" s="58" t="s">
        <v>45</v>
      </c>
      <c r="Q105" s="34" t="s">
        <v>46</v>
      </c>
      <c r="R105" s="68">
        <v>30340</v>
      </c>
      <c r="S105" s="44">
        <v>32584</v>
      </c>
      <c r="T105" s="69"/>
      <c r="U105" s="44">
        <v>6743</v>
      </c>
      <c r="V105" s="44">
        <v>5100</v>
      </c>
      <c r="W105" s="44"/>
      <c r="X105" s="68">
        <f t="shared" ref="X105:Y107" si="38">R105+U105</f>
        <v>37083</v>
      </c>
      <c r="Y105" s="44">
        <f t="shared" si="38"/>
        <v>37684</v>
      </c>
      <c r="Z105" s="69"/>
      <c r="AA105" s="44">
        <v>7634</v>
      </c>
      <c r="AB105" s="44">
        <v>5907</v>
      </c>
      <c r="AC105" s="44"/>
      <c r="AD105" s="70">
        <v>29060</v>
      </c>
      <c r="AE105" s="48">
        <v>31207</v>
      </c>
      <c r="AF105" s="71"/>
      <c r="AG105" s="48">
        <v>6939</v>
      </c>
      <c r="AH105" s="48">
        <v>5761</v>
      </c>
      <c r="AI105" s="48"/>
      <c r="AJ105" s="70">
        <f t="shared" si="36"/>
        <v>35999</v>
      </c>
      <c r="AK105" s="48">
        <f t="shared" si="36"/>
        <v>36968</v>
      </c>
      <c r="AL105" s="71">
        <f t="shared" si="36"/>
        <v>0</v>
      </c>
      <c r="AM105" s="48">
        <v>8163</v>
      </c>
      <c r="AN105" s="48">
        <v>6716</v>
      </c>
      <c r="AO105" s="48"/>
      <c r="AP105" s="60">
        <f>AVERAGE(R105,AD105)</f>
        <v>29700</v>
      </c>
      <c r="AQ105" s="49">
        <f>AVERAGE(S105,AE105)</f>
        <v>31895.5</v>
      </c>
      <c r="AR105" s="61"/>
      <c r="AS105" s="49">
        <f>AVERAGE(U105,AG105)</f>
        <v>6841</v>
      </c>
      <c r="AT105" s="49">
        <f>AVERAGE(V105,AH105)</f>
        <v>5430.5</v>
      </c>
      <c r="AU105" s="49"/>
      <c r="AV105" s="337">
        <f>AVERAGE(X105,AJ105)</f>
        <v>36541</v>
      </c>
      <c r="AW105" s="53">
        <f>AVERAGE(Y105,AK105)</f>
        <v>37326</v>
      </c>
      <c r="AX105" s="338"/>
      <c r="AY105" s="49">
        <f>AVERAGE(AA105,AM105)</f>
        <v>7898.5</v>
      </c>
      <c r="AZ105" s="49">
        <f>AVERAGE(AB105,AN105)</f>
        <v>6311.5</v>
      </c>
      <c r="BA105" s="49"/>
      <c r="BB105" s="339">
        <f t="shared" si="28"/>
        <v>220031</v>
      </c>
      <c r="BC105" s="340">
        <f t="shared" si="29"/>
        <v>36671.833333333336</v>
      </c>
      <c r="BD105" s="62">
        <f t="shared" si="27"/>
        <v>45804</v>
      </c>
      <c r="BE105" s="59">
        <v>1883</v>
      </c>
      <c r="BF105" s="56"/>
    </row>
    <row r="106" spans="1:58" s="97" customFormat="1">
      <c r="A106" s="57" t="s">
        <v>268</v>
      </c>
      <c r="B106" s="34" t="s">
        <v>35</v>
      </c>
      <c r="C106" s="34" t="s">
        <v>36</v>
      </c>
      <c r="D106" s="59" t="s">
        <v>262</v>
      </c>
      <c r="E106" s="39" t="s">
        <v>269</v>
      </c>
      <c r="F106" s="237">
        <v>284000</v>
      </c>
      <c r="G106" s="34" t="s">
        <v>68</v>
      </c>
      <c r="H106" s="34" t="s">
        <v>40</v>
      </c>
      <c r="I106" s="34">
        <v>10</v>
      </c>
      <c r="J106" s="34">
        <v>293</v>
      </c>
      <c r="K106" s="34">
        <f t="shared" si="26"/>
        <v>2930</v>
      </c>
      <c r="L106" s="38" t="s">
        <v>41</v>
      </c>
      <c r="M106" s="38" t="s">
        <v>42</v>
      </c>
      <c r="N106" s="64" t="s">
        <v>43</v>
      </c>
      <c r="O106" s="34" t="s">
        <v>44</v>
      </c>
      <c r="P106" s="58" t="s">
        <v>45</v>
      </c>
      <c r="Q106" s="34" t="s">
        <v>46</v>
      </c>
      <c r="R106" s="68">
        <v>35180</v>
      </c>
      <c r="S106" s="44">
        <v>38209</v>
      </c>
      <c r="T106" s="69"/>
      <c r="U106" s="44">
        <v>9383</v>
      </c>
      <c r="V106" s="44">
        <v>6133</v>
      </c>
      <c r="W106" s="44"/>
      <c r="X106" s="68">
        <f t="shared" si="38"/>
        <v>44563</v>
      </c>
      <c r="Y106" s="44">
        <f t="shared" si="38"/>
        <v>44342</v>
      </c>
      <c r="Z106" s="69"/>
      <c r="AA106" s="44">
        <v>10134</v>
      </c>
      <c r="AB106" s="44">
        <v>6985</v>
      </c>
      <c r="AC106" s="44"/>
      <c r="AD106" s="70">
        <v>33807</v>
      </c>
      <c r="AE106" s="48">
        <v>36951</v>
      </c>
      <c r="AF106" s="71"/>
      <c r="AG106" s="48">
        <v>8815</v>
      </c>
      <c r="AH106" s="48">
        <v>6163</v>
      </c>
      <c r="AI106" s="48"/>
      <c r="AJ106" s="70">
        <f t="shared" si="36"/>
        <v>42622</v>
      </c>
      <c r="AK106" s="48">
        <f t="shared" si="36"/>
        <v>43114</v>
      </c>
      <c r="AL106" s="71">
        <f t="shared" si="36"/>
        <v>0</v>
      </c>
      <c r="AM106" s="48">
        <v>10106</v>
      </c>
      <c r="AN106" s="48">
        <v>7457</v>
      </c>
      <c r="AO106" s="48"/>
      <c r="AP106" s="60">
        <f>AVERAGE(R106,AD106)</f>
        <v>34493.5</v>
      </c>
      <c r="AQ106" s="49">
        <f>AVERAGE(S106,AE106)</f>
        <v>37580</v>
      </c>
      <c r="AR106" s="61"/>
      <c r="AS106" s="49">
        <f>AVERAGE(U106,AG106)</f>
        <v>9099</v>
      </c>
      <c r="AT106" s="49">
        <f>AVERAGE(V106,AH106)</f>
        <v>6148</v>
      </c>
      <c r="AU106" s="49"/>
      <c r="AV106" s="337">
        <f>AVERAGE(X106,AJ106)</f>
        <v>43592.5</v>
      </c>
      <c r="AW106" s="53">
        <f>AVERAGE(Y106,AK106)</f>
        <v>43728</v>
      </c>
      <c r="AX106" s="338"/>
      <c r="AY106" s="49">
        <f>AVERAGE(AA106,AM106)</f>
        <v>10120</v>
      </c>
      <c r="AZ106" s="49">
        <f>AVERAGE(AB106,AN106)</f>
        <v>7221</v>
      </c>
      <c r="BA106" s="49"/>
      <c r="BB106" s="339">
        <f t="shared" si="28"/>
        <v>261690.5</v>
      </c>
      <c r="BC106" s="340">
        <f t="shared" si="29"/>
        <v>43615.083333333336</v>
      </c>
      <c r="BD106" s="62">
        <f t="shared" si="27"/>
        <v>57821</v>
      </c>
      <c r="BE106" s="59">
        <v>1902</v>
      </c>
      <c r="BF106" s="63"/>
    </row>
    <row r="107" spans="1:58" s="73" customFormat="1" ht="15.75" thickBot="1">
      <c r="A107" s="107" t="s">
        <v>270</v>
      </c>
      <c r="B107" s="108" t="s">
        <v>35</v>
      </c>
      <c r="C107" s="108" t="s">
        <v>79</v>
      </c>
      <c r="D107" s="113" t="s">
        <v>271</v>
      </c>
      <c r="E107" s="360" t="s">
        <v>272</v>
      </c>
      <c r="F107" s="361">
        <v>26028</v>
      </c>
      <c r="G107" s="108" t="s">
        <v>82</v>
      </c>
      <c r="H107" s="108" t="s">
        <v>47</v>
      </c>
      <c r="I107" s="108">
        <v>5</v>
      </c>
      <c r="J107" s="108">
        <v>190</v>
      </c>
      <c r="K107" s="108">
        <f t="shared" si="26"/>
        <v>950</v>
      </c>
      <c r="L107" s="112" t="s">
        <v>273</v>
      </c>
      <c r="M107" s="112" t="s">
        <v>42</v>
      </c>
      <c r="N107" s="362" t="s">
        <v>64</v>
      </c>
      <c r="O107" s="108" t="s">
        <v>54</v>
      </c>
      <c r="P107" s="110" t="s">
        <v>113</v>
      </c>
      <c r="Q107" s="108" t="s">
        <v>46</v>
      </c>
      <c r="R107" s="114">
        <v>1365</v>
      </c>
      <c r="S107" s="115"/>
      <c r="T107" s="116"/>
      <c r="U107" s="44">
        <v>427</v>
      </c>
      <c r="V107" s="44"/>
      <c r="W107" s="44"/>
      <c r="X107" s="114">
        <f t="shared" si="38"/>
        <v>1792</v>
      </c>
      <c r="Y107" s="115">
        <f t="shared" si="38"/>
        <v>0</v>
      </c>
      <c r="Z107" s="116"/>
      <c r="AA107" s="44"/>
      <c r="AB107" s="44"/>
      <c r="AC107" s="44"/>
      <c r="AD107" s="117">
        <v>1379</v>
      </c>
      <c r="AE107" s="118"/>
      <c r="AF107" s="119"/>
      <c r="AG107" s="48">
        <v>426</v>
      </c>
      <c r="AH107" s="48"/>
      <c r="AI107" s="48"/>
      <c r="AJ107" s="117">
        <f t="shared" si="36"/>
        <v>1805</v>
      </c>
      <c r="AK107" s="118">
        <f t="shared" si="36"/>
        <v>0</v>
      </c>
      <c r="AL107" s="119">
        <f t="shared" si="36"/>
        <v>0</v>
      </c>
      <c r="AM107" s="118"/>
      <c r="AN107" s="118"/>
      <c r="AO107" s="118"/>
      <c r="AP107" s="120">
        <f>AVERAGE(R107,AD107)</f>
        <v>1372</v>
      </c>
      <c r="AQ107" s="121"/>
      <c r="AR107" s="122"/>
      <c r="AS107" s="121">
        <f>AVERAGE(U107,AG107)</f>
        <v>426.5</v>
      </c>
      <c r="AT107" s="121"/>
      <c r="AU107" s="121"/>
      <c r="AV107" s="363">
        <f>AVERAGE(X107,AJ107)</f>
        <v>1798.5</v>
      </c>
      <c r="AW107" s="123"/>
      <c r="AX107" s="364"/>
      <c r="AY107" s="121"/>
      <c r="AZ107" s="121"/>
      <c r="BA107" s="121"/>
      <c r="BB107" s="365">
        <f t="shared" si="28"/>
        <v>8992.5</v>
      </c>
      <c r="BC107" s="366">
        <f t="shared" si="29"/>
        <v>1798.5</v>
      </c>
      <c r="BD107" s="298">
        <f t="shared" si="27"/>
        <v>0</v>
      </c>
      <c r="BE107" s="113">
        <v>1985</v>
      </c>
      <c r="BF107" s="56"/>
    </row>
    <row r="108" spans="1:58" s="146" customFormat="1" ht="15.75" thickBot="1">
      <c r="A108" s="125" t="s">
        <v>568</v>
      </c>
      <c r="B108" s="126"/>
      <c r="C108" s="126"/>
      <c r="D108" s="389">
        <f>COUNTA(A93:A107)+COUNTA(A4:A92)</f>
        <v>104</v>
      </c>
      <c r="E108" s="127"/>
      <c r="F108" s="128"/>
      <c r="G108" s="126"/>
      <c r="H108" s="129"/>
      <c r="I108" s="129"/>
      <c r="J108" s="129"/>
      <c r="K108" s="129"/>
      <c r="L108" s="126">
        <f>COUNTA(L93:L107)+COUNTA(L4:L92)</f>
        <v>38</v>
      </c>
      <c r="M108" s="126"/>
      <c r="N108" s="126"/>
      <c r="O108" s="126"/>
      <c r="P108" s="130"/>
      <c r="Q108" s="131"/>
      <c r="R108" s="132"/>
      <c r="S108" s="132"/>
      <c r="T108" s="132"/>
      <c r="U108" s="133"/>
      <c r="V108" s="132"/>
      <c r="W108" s="134"/>
      <c r="X108" s="133"/>
      <c r="Y108" s="132"/>
      <c r="Z108" s="134"/>
      <c r="AA108" s="132"/>
      <c r="AB108" s="132"/>
      <c r="AC108" s="132"/>
      <c r="AD108" s="135"/>
      <c r="AE108" s="136"/>
      <c r="AF108" s="137"/>
      <c r="AG108" s="136"/>
      <c r="AH108" s="136"/>
      <c r="AI108" s="136"/>
      <c r="AJ108" s="135"/>
      <c r="AK108" s="136"/>
      <c r="AL108" s="137"/>
      <c r="AM108" s="135"/>
      <c r="AN108" s="136"/>
      <c r="AO108" s="137"/>
      <c r="AP108" s="138">
        <f t="shared" ref="AP108:BD108" si="39">SUM(AP4:AP107)</f>
        <v>2739363.65</v>
      </c>
      <c r="AQ108" s="138">
        <f t="shared" si="39"/>
        <v>3070971</v>
      </c>
      <c r="AR108" s="138">
        <f t="shared" si="39"/>
        <v>1032023.5</v>
      </c>
      <c r="AS108" s="139">
        <f t="shared" si="39"/>
        <v>2487091.5999999996</v>
      </c>
      <c r="AT108" s="138">
        <f t="shared" si="39"/>
        <v>1058332</v>
      </c>
      <c r="AU108" s="140">
        <f>SUM(AU4:AU107)-(AU72+AU67+AU50+AU48+AU45+AU22+AU19+AU15)</f>
        <v>358669.5</v>
      </c>
      <c r="AV108" s="141">
        <f t="shared" si="39"/>
        <v>5226455.25</v>
      </c>
      <c r="AW108" s="142">
        <f t="shared" si="39"/>
        <v>4129303</v>
      </c>
      <c r="AX108" s="140">
        <f>SUM(AX4:AX107)-(AX72+AX67+AX50+AX48+AX45+AX22+AX19+AX15)</f>
        <v>1383693</v>
      </c>
      <c r="AY108" s="138">
        <f t="shared" si="39"/>
        <v>1020267.7</v>
      </c>
      <c r="AZ108" s="138">
        <f t="shared" si="39"/>
        <v>935964</v>
      </c>
      <c r="BA108" s="138">
        <f t="shared" si="39"/>
        <v>283150.5</v>
      </c>
      <c r="BB108" s="144">
        <f t="shared" si="39"/>
        <v>31765434.25</v>
      </c>
      <c r="BC108" s="145">
        <f t="shared" si="39"/>
        <v>5312017.5</v>
      </c>
      <c r="BD108" s="145">
        <f t="shared" si="39"/>
        <v>6314074.5</v>
      </c>
      <c r="BE108" s="126"/>
    </row>
    <row r="109" spans="1:58" s="153" customFormat="1">
      <c r="A109" s="147" t="s">
        <v>569</v>
      </c>
      <c r="B109" s="148"/>
      <c r="C109" s="148"/>
      <c r="D109" s="148">
        <v>112</v>
      </c>
      <c r="E109" s="149"/>
      <c r="F109" s="150"/>
      <c r="G109" s="148"/>
      <c r="H109" s="151"/>
      <c r="I109" s="151"/>
      <c r="J109" s="151"/>
      <c r="K109" s="151"/>
      <c r="L109" s="148"/>
      <c r="M109" s="148"/>
      <c r="N109" s="148"/>
      <c r="O109" s="148"/>
      <c r="P109" s="149"/>
      <c r="Q109" s="148"/>
      <c r="R109" s="148"/>
      <c r="S109" s="148"/>
      <c r="T109" s="148"/>
      <c r="U109" s="148"/>
      <c r="V109" s="148"/>
      <c r="W109" s="148"/>
      <c r="X109" s="148"/>
      <c r="Y109" s="148"/>
      <c r="Z109" s="148"/>
      <c r="AA109" s="148"/>
      <c r="AB109" s="148"/>
      <c r="AC109" s="148"/>
      <c r="AD109" s="148"/>
      <c r="AE109" s="148"/>
      <c r="AF109" s="148"/>
      <c r="AG109" s="148"/>
      <c r="AH109" s="148"/>
      <c r="AI109" s="148"/>
      <c r="AJ109" s="148"/>
      <c r="AK109" s="148"/>
      <c r="AL109" s="148"/>
      <c r="AM109" s="148"/>
      <c r="AN109" s="148"/>
      <c r="AO109" s="148"/>
      <c r="AP109" s="148"/>
      <c r="AQ109" s="148"/>
      <c r="AR109" s="148"/>
      <c r="AS109" s="148"/>
      <c r="AT109" s="148"/>
      <c r="AU109" s="148"/>
      <c r="AV109" s="148"/>
      <c r="AW109" s="148"/>
      <c r="AX109" s="148"/>
      <c r="AY109" s="148"/>
      <c r="AZ109" s="148"/>
      <c r="BA109" s="148"/>
      <c r="BB109" s="152">
        <f>'2013 Circulation by Title'!BB116</f>
        <v>34101802</v>
      </c>
      <c r="BC109" s="152">
        <f>'2013 Circulation by Title'!BC116</f>
        <v>5716635.8940476179</v>
      </c>
      <c r="BD109" s="152">
        <f>'2013 Circulation by Title'!BD116</f>
        <v>5862719.5</v>
      </c>
      <c r="BE109" s="148"/>
    </row>
    <row r="110" spans="1:58" s="153" customFormat="1">
      <c r="A110" s="147" t="s">
        <v>570</v>
      </c>
      <c r="B110" s="148"/>
      <c r="C110" s="148"/>
      <c r="D110" s="148">
        <f>D108-D109</f>
        <v>-8</v>
      </c>
      <c r="E110" s="149"/>
      <c r="F110" s="150"/>
      <c r="G110" s="148"/>
      <c r="H110" s="151"/>
      <c r="I110" s="151"/>
      <c r="J110" s="151"/>
      <c r="K110" s="151"/>
      <c r="L110" s="148"/>
      <c r="M110" s="148"/>
      <c r="N110" s="148"/>
      <c r="O110" s="148"/>
      <c r="P110" s="149"/>
      <c r="Q110" s="148"/>
      <c r="R110" s="148"/>
      <c r="S110" s="148"/>
      <c r="T110" s="148"/>
      <c r="U110" s="148"/>
      <c r="V110" s="148"/>
      <c r="W110" s="148"/>
      <c r="X110" s="148"/>
      <c r="Y110" s="148"/>
      <c r="Z110" s="148"/>
      <c r="AA110" s="148"/>
      <c r="AB110" s="148"/>
      <c r="AC110" s="148"/>
      <c r="AD110" s="148"/>
      <c r="AE110" s="148"/>
      <c r="AF110" s="148"/>
      <c r="AG110" s="148"/>
      <c r="AH110" s="148"/>
      <c r="AI110" s="148"/>
      <c r="AJ110" s="148"/>
      <c r="AK110" s="148"/>
      <c r="AL110" s="148"/>
      <c r="AM110" s="148"/>
      <c r="AN110" s="148"/>
      <c r="AO110" s="148"/>
      <c r="AP110" s="148"/>
      <c r="AQ110" s="148"/>
      <c r="AR110" s="148"/>
      <c r="AS110" s="148"/>
      <c r="AT110" s="148"/>
      <c r="AU110" s="148"/>
      <c r="AV110" s="148"/>
      <c r="AW110" s="148"/>
      <c r="AX110" s="148"/>
      <c r="AY110" s="148"/>
      <c r="AZ110" s="148"/>
      <c r="BA110" s="148"/>
      <c r="BB110" s="152">
        <f>BB108-BB109</f>
        <v>-2336367.75</v>
      </c>
      <c r="BC110" s="152">
        <f t="shared" ref="BC110:BD110" si="40">BC108-BC109</f>
        <v>-404618.39404761791</v>
      </c>
      <c r="BD110" s="152">
        <f t="shared" si="40"/>
        <v>451355</v>
      </c>
      <c r="BE110" s="148"/>
    </row>
    <row r="111" spans="1:58" s="153" customFormat="1">
      <c r="A111" s="147" t="s">
        <v>571</v>
      </c>
      <c r="B111" s="148"/>
      <c r="C111" s="148"/>
      <c r="D111" s="148">
        <f>D110/D109</f>
        <v>-7.1428571428571425E-2</v>
      </c>
      <c r="E111" s="149"/>
      <c r="F111" s="150"/>
      <c r="G111" s="148"/>
      <c r="H111" s="151"/>
      <c r="I111" s="151"/>
      <c r="J111" s="151"/>
      <c r="K111" s="151"/>
      <c r="L111" s="148"/>
      <c r="M111" s="148"/>
      <c r="N111" s="148"/>
      <c r="O111" s="148"/>
      <c r="P111" s="149"/>
      <c r="Q111" s="148"/>
      <c r="R111" s="148"/>
      <c r="S111" s="148"/>
      <c r="T111" s="148"/>
      <c r="U111" s="148"/>
      <c r="V111" s="148"/>
      <c r="W111" s="148"/>
      <c r="X111" s="148"/>
      <c r="Y111" s="148"/>
      <c r="Z111" s="148"/>
      <c r="AA111" s="148"/>
      <c r="AB111" s="148"/>
      <c r="AC111" s="148"/>
      <c r="AD111" s="148"/>
      <c r="AE111" s="148"/>
      <c r="AF111" s="148"/>
      <c r="AG111" s="148"/>
      <c r="AH111" s="148"/>
      <c r="AI111" s="148"/>
      <c r="AJ111" s="148"/>
      <c r="AK111" s="148"/>
      <c r="AL111" s="148"/>
      <c r="AM111" s="148"/>
      <c r="AN111" s="148"/>
      <c r="AO111" s="148"/>
      <c r="AP111" s="148"/>
      <c r="AQ111" s="148"/>
      <c r="AR111" s="148"/>
      <c r="AS111" s="148"/>
      <c r="AT111" s="148"/>
      <c r="AU111" s="148"/>
      <c r="AV111" s="148"/>
      <c r="AW111" s="148"/>
      <c r="AX111" s="148"/>
      <c r="AY111" s="148"/>
      <c r="AZ111" s="148"/>
      <c r="BA111" s="148"/>
      <c r="BB111" s="371">
        <f>BB110/BB109</f>
        <v>-6.8511562820052732E-2</v>
      </c>
      <c r="BC111" s="371">
        <f>BC110/BC109</f>
        <v>-7.0779108823236792E-2</v>
      </c>
      <c r="BD111" s="371">
        <f>BD110/BD109</f>
        <v>7.6987309387733793E-2</v>
      </c>
      <c r="BE111" s="148"/>
    </row>
    <row r="112" spans="1:58" s="153" customFormat="1" ht="15.75">
      <c r="A112" s="154" t="s">
        <v>275</v>
      </c>
      <c r="B112" s="156"/>
      <c r="C112" s="156"/>
      <c r="D112" s="156"/>
      <c r="E112" s="155"/>
      <c r="F112" s="157"/>
      <c r="G112" s="156"/>
      <c r="H112" s="155"/>
      <c r="I112" s="156"/>
      <c r="J112" s="156"/>
      <c r="K112" s="156"/>
      <c r="L112" s="156"/>
      <c r="M112" s="155"/>
      <c r="N112" s="155"/>
      <c r="O112" s="156"/>
      <c r="P112" s="155"/>
      <c r="Q112" s="155"/>
      <c r="R112" s="155"/>
      <c r="S112" s="155"/>
      <c r="T112" s="155"/>
      <c r="U112" s="155"/>
      <c r="V112" s="155"/>
      <c r="W112" s="155"/>
      <c r="X112" s="155"/>
      <c r="Y112" s="155"/>
      <c r="Z112" s="155"/>
      <c r="AA112" s="155"/>
      <c r="AB112" s="155"/>
      <c r="AC112" s="155"/>
      <c r="AD112" s="155"/>
      <c r="AE112" s="155"/>
      <c r="AF112" s="155"/>
      <c r="AG112" s="155"/>
      <c r="AH112" s="155"/>
      <c r="AI112" s="155"/>
      <c r="AJ112" s="155"/>
      <c r="AK112" s="155"/>
      <c r="AL112" s="155"/>
      <c r="AM112" s="155"/>
      <c r="AN112" s="155"/>
      <c r="AO112" s="155"/>
      <c r="AP112" s="155"/>
      <c r="AQ112" s="155"/>
      <c r="AR112" s="155"/>
      <c r="AS112" s="155"/>
      <c r="AT112" s="155"/>
      <c r="AU112" s="155"/>
      <c r="AV112" s="155"/>
      <c r="AW112" s="155"/>
      <c r="AX112" s="155"/>
      <c r="AY112" s="155"/>
      <c r="AZ112" s="155"/>
      <c r="BA112" s="155"/>
      <c r="BE112" s="372"/>
    </row>
    <row r="113" spans="1:57" s="166" customFormat="1" ht="15.75">
      <c r="A113" s="158" t="s">
        <v>276</v>
      </c>
      <c r="B113" s="159"/>
      <c r="C113" s="159"/>
      <c r="D113" s="160"/>
      <c r="E113" s="161"/>
      <c r="F113" s="162"/>
      <c r="G113" s="160"/>
      <c r="H113" s="159"/>
      <c r="I113" s="159"/>
      <c r="J113" s="159"/>
      <c r="K113" s="159"/>
      <c r="L113" s="159"/>
      <c r="M113" s="159"/>
      <c r="N113" s="159"/>
      <c r="O113" s="159"/>
      <c r="P113" s="163"/>
      <c r="Q113" s="159"/>
      <c r="R113" s="159"/>
      <c r="S113" s="159"/>
      <c r="T113" s="159"/>
      <c r="U113" s="159"/>
      <c r="V113" s="159"/>
      <c r="W113" s="159"/>
      <c r="X113" s="159"/>
      <c r="Y113" s="159"/>
      <c r="Z113" s="159"/>
      <c r="AA113" s="159"/>
      <c r="AB113" s="159"/>
      <c r="AC113" s="159"/>
      <c r="AD113" s="159"/>
      <c r="AE113" s="159"/>
      <c r="AF113" s="159"/>
      <c r="AG113" s="159"/>
      <c r="AH113" s="159"/>
      <c r="AI113" s="159"/>
      <c r="AJ113" s="159"/>
      <c r="AK113" s="159"/>
      <c r="AL113" s="159"/>
      <c r="AM113" s="159"/>
      <c r="AN113" s="159"/>
      <c r="AO113" s="159"/>
      <c r="AP113" s="159"/>
      <c r="AQ113" s="159"/>
      <c r="AR113" s="159"/>
      <c r="AS113" s="159"/>
      <c r="AT113" s="159"/>
      <c r="AU113" s="159"/>
      <c r="AV113" s="159"/>
      <c r="AW113" s="159"/>
      <c r="AX113" s="159"/>
      <c r="AY113" s="159"/>
      <c r="AZ113" s="159"/>
      <c r="BA113" s="159"/>
      <c r="BB113" s="164"/>
      <c r="BC113" s="164"/>
      <c r="BD113" s="164"/>
      <c r="BE113" s="159"/>
    </row>
    <row r="114" spans="1:57" s="167" customFormat="1" ht="15.75">
      <c r="A114" s="158" t="s">
        <v>277</v>
      </c>
      <c r="B114" s="168"/>
      <c r="C114" s="168"/>
      <c r="D114" s="168"/>
      <c r="F114" s="169"/>
      <c r="G114" s="168"/>
      <c r="I114" s="168"/>
      <c r="J114" s="168"/>
      <c r="K114" s="168"/>
      <c r="L114" s="168"/>
      <c r="O114" s="168"/>
      <c r="BE114" s="168"/>
    </row>
    <row r="115" spans="1:57" s="167" customFormat="1" ht="15.75">
      <c r="A115" s="158" t="s">
        <v>278</v>
      </c>
      <c r="B115" s="168"/>
      <c r="C115" s="168"/>
      <c r="D115" s="168"/>
      <c r="F115" s="169"/>
      <c r="G115" s="168"/>
      <c r="I115" s="168"/>
      <c r="J115" s="168"/>
      <c r="K115" s="168"/>
      <c r="L115" s="168"/>
      <c r="O115" s="168"/>
      <c r="BE115" s="168"/>
    </row>
    <row r="116" spans="1:57" s="167" customFormat="1" ht="15.75">
      <c r="A116" s="158" t="s">
        <v>279</v>
      </c>
      <c r="B116" s="168"/>
      <c r="C116" s="168"/>
      <c r="D116" s="168"/>
      <c r="F116" s="169"/>
      <c r="G116" s="168"/>
      <c r="I116" s="168"/>
      <c r="J116" s="168"/>
      <c r="K116" s="168"/>
      <c r="L116" s="168"/>
      <c r="O116" s="168"/>
      <c r="BE116" s="168"/>
    </row>
    <row r="117" spans="1:57" s="167" customFormat="1" ht="15.75">
      <c r="A117" s="158" t="s">
        <v>280</v>
      </c>
      <c r="B117" s="168"/>
      <c r="C117" s="168"/>
      <c r="D117" s="168"/>
      <c r="F117" s="169"/>
      <c r="G117" s="168"/>
      <c r="I117" s="168"/>
      <c r="J117" s="168"/>
      <c r="K117" s="168"/>
      <c r="L117" s="168"/>
      <c r="O117" s="168"/>
      <c r="BE117" s="168"/>
    </row>
    <row r="118" spans="1:57" s="167" customFormat="1" ht="15.75">
      <c r="A118" s="158" t="s">
        <v>281</v>
      </c>
      <c r="B118" s="168"/>
      <c r="C118" s="168"/>
      <c r="D118" s="168"/>
      <c r="F118" s="169"/>
      <c r="G118" s="168"/>
      <c r="I118" s="168"/>
      <c r="J118" s="168"/>
      <c r="K118" s="168"/>
      <c r="L118" s="168"/>
      <c r="O118" s="168"/>
      <c r="BE118" s="168"/>
    </row>
    <row r="119" spans="1:57" s="167" customFormat="1" ht="15.75">
      <c r="A119" s="158" t="s">
        <v>282</v>
      </c>
      <c r="B119" s="168"/>
      <c r="C119" s="168"/>
      <c r="D119" s="168"/>
      <c r="F119" s="169"/>
      <c r="G119" s="168"/>
      <c r="I119" s="168"/>
      <c r="J119" s="168"/>
      <c r="K119" s="168"/>
      <c r="L119" s="168"/>
      <c r="O119" s="168"/>
      <c r="BE119" s="168"/>
    </row>
    <row r="120" spans="1:57" s="167" customFormat="1" ht="15.75">
      <c r="A120" s="158" t="s">
        <v>283</v>
      </c>
      <c r="B120" s="168"/>
      <c r="C120" s="168"/>
      <c r="D120" s="168"/>
      <c r="F120" s="169"/>
      <c r="G120" s="168"/>
      <c r="I120" s="168"/>
      <c r="J120" s="168"/>
      <c r="K120" s="168"/>
      <c r="L120" s="168"/>
      <c r="O120" s="168"/>
      <c r="BE120" s="168"/>
    </row>
    <row r="121" spans="1:57" s="167" customFormat="1" ht="15.75">
      <c r="A121" s="158"/>
      <c r="B121" s="168"/>
      <c r="C121" s="168"/>
      <c r="D121" s="168"/>
      <c r="F121" s="169"/>
      <c r="G121" s="168"/>
      <c r="I121" s="168"/>
      <c r="J121" s="168"/>
      <c r="K121" s="168"/>
      <c r="L121" s="168"/>
      <c r="O121" s="168"/>
      <c r="BE121" s="168"/>
    </row>
    <row r="122" spans="1:57" s="171" customFormat="1" ht="15.75">
      <c r="A122" s="170" t="s">
        <v>284</v>
      </c>
      <c r="B122" s="172"/>
      <c r="C122" s="172"/>
      <c r="D122" s="173"/>
      <c r="E122" s="174"/>
      <c r="F122" s="175"/>
      <c r="G122" s="173"/>
      <c r="H122" s="309"/>
      <c r="I122" s="176"/>
      <c r="J122" s="176"/>
      <c r="K122" s="176"/>
      <c r="L122" s="176"/>
      <c r="M122" s="309"/>
      <c r="N122" s="177"/>
      <c r="O122" s="238"/>
      <c r="P122" s="178"/>
      <c r="Q122" s="177"/>
      <c r="R122" s="177"/>
      <c r="S122" s="177"/>
      <c r="T122" s="177"/>
      <c r="U122" s="177"/>
      <c r="V122" s="177"/>
      <c r="W122" s="177"/>
      <c r="X122" s="177"/>
      <c r="Y122" s="177"/>
      <c r="Z122" s="177"/>
      <c r="AA122" s="177"/>
      <c r="AB122" s="177"/>
      <c r="AC122" s="177"/>
      <c r="AD122" s="177"/>
      <c r="AE122" s="177"/>
      <c r="AF122" s="177"/>
      <c r="AG122" s="177"/>
      <c r="AH122" s="177"/>
      <c r="AI122" s="177"/>
      <c r="AJ122" s="177"/>
      <c r="AK122" s="177"/>
      <c r="AL122" s="177"/>
      <c r="AM122" s="177"/>
      <c r="AN122" s="177"/>
      <c r="AO122" s="177"/>
      <c r="AP122" s="177"/>
      <c r="AQ122" s="177"/>
      <c r="AR122" s="177"/>
      <c r="AS122" s="177"/>
      <c r="AT122" s="177"/>
      <c r="AU122" s="177"/>
      <c r="AV122" s="177"/>
      <c r="AW122" s="177"/>
      <c r="AX122" s="177"/>
      <c r="AY122" s="177"/>
      <c r="AZ122" s="177"/>
      <c r="BA122" s="177"/>
      <c r="BB122" s="179"/>
      <c r="BC122" s="179"/>
      <c r="BD122" s="179"/>
      <c r="BE122" s="181"/>
    </row>
    <row r="123" spans="1:57" s="171" customFormat="1" ht="15.75">
      <c r="A123" s="170" t="s">
        <v>285</v>
      </c>
      <c r="B123" s="172"/>
      <c r="C123" s="172"/>
      <c r="D123" s="173"/>
      <c r="E123" s="174"/>
      <c r="F123" s="175"/>
      <c r="G123" s="173"/>
      <c r="H123" s="309"/>
      <c r="I123" s="176"/>
      <c r="J123" s="176"/>
      <c r="K123" s="176"/>
      <c r="L123" s="176"/>
      <c r="M123" s="309"/>
      <c r="N123" s="177"/>
      <c r="O123" s="238"/>
      <c r="P123" s="178"/>
      <c r="Q123" s="177"/>
      <c r="R123" s="177"/>
      <c r="S123" s="177"/>
      <c r="T123" s="177"/>
      <c r="U123" s="177"/>
      <c r="V123" s="177"/>
      <c r="W123" s="177"/>
      <c r="X123" s="177"/>
      <c r="Y123" s="177"/>
      <c r="Z123" s="177"/>
      <c r="AA123" s="177"/>
      <c r="AB123" s="177"/>
      <c r="AC123" s="177"/>
      <c r="AD123" s="177"/>
      <c r="AE123" s="177"/>
      <c r="AF123" s="177"/>
      <c r="AG123" s="177"/>
      <c r="AH123" s="177"/>
      <c r="AI123" s="177"/>
      <c r="AJ123" s="177"/>
      <c r="AK123" s="177"/>
      <c r="AL123" s="177"/>
      <c r="AM123" s="177"/>
      <c r="AN123" s="177"/>
      <c r="AO123" s="177"/>
      <c r="AP123" s="177"/>
      <c r="AQ123" s="177"/>
      <c r="AR123" s="177"/>
      <c r="AS123" s="177"/>
      <c r="AT123" s="177"/>
      <c r="AU123" s="177"/>
      <c r="AV123" s="177"/>
      <c r="AW123" s="177"/>
      <c r="AX123" s="177"/>
      <c r="AY123" s="177"/>
      <c r="AZ123" s="177"/>
      <c r="BA123" s="177"/>
      <c r="BB123" s="179"/>
      <c r="BC123" s="179"/>
      <c r="BD123" s="179"/>
      <c r="BE123" s="181"/>
    </row>
    <row r="124" spans="1:57" s="171" customFormat="1" ht="15.75">
      <c r="A124" s="170" t="s">
        <v>286</v>
      </c>
      <c r="B124" s="172"/>
      <c r="C124" s="172"/>
      <c r="D124" s="173"/>
      <c r="E124" s="174"/>
      <c r="F124" s="175"/>
      <c r="G124" s="173"/>
      <c r="H124" s="309"/>
      <c r="I124" s="176"/>
      <c r="J124" s="176"/>
      <c r="K124" s="176"/>
      <c r="L124" s="176"/>
      <c r="M124" s="309"/>
      <c r="N124" s="177"/>
      <c r="O124" s="238"/>
      <c r="P124" s="178"/>
      <c r="Q124" s="177"/>
      <c r="R124" s="177"/>
      <c r="S124" s="177"/>
      <c r="T124" s="177"/>
      <c r="U124" s="177"/>
      <c r="V124" s="177"/>
      <c r="W124" s="177"/>
      <c r="X124" s="177"/>
      <c r="Y124" s="177"/>
      <c r="Z124" s="177"/>
      <c r="AA124" s="177"/>
      <c r="AB124" s="177"/>
      <c r="AC124" s="177"/>
      <c r="AD124" s="177"/>
      <c r="AE124" s="177"/>
      <c r="AF124" s="177"/>
      <c r="AG124" s="177"/>
      <c r="AH124" s="177"/>
      <c r="AI124" s="177"/>
      <c r="AJ124" s="177"/>
      <c r="AK124" s="177"/>
      <c r="AL124" s="177"/>
      <c r="AM124" s="177"/>
      <c r="AN124" s="177"/>
      <c r="AO124" s="177"/>
      <c r="AP124" s="177"/>
      <c r="AQ124" s="177"/>
      <c r="AR124" s="177"/>
      <c r="AS124" s="177"/>
      <c r="AT124" s="177"/>
      <c r="AU124" s="177"/>
      <c r="AV124" s="177"/>
      <c r="AW124" s="177"/>
      <c r="AX124" s="177"/>
      <c r="AY124" s="177"/>
      <c r="AZ124" s="177"/>
      <c r="BA124" s="177"/>
      <c r="BB124" s="179"/>
      <c r="BC124" s="179"/>
      <c r="BD124" s="179"/>
      <c r="BE124" s="181"/>
    </row>
    <row r="125" spans="1:57" s="182" customFormat="1" ht="15.75">
      <c r="A125" s="170" t="s">
        <v>287</v>
      </c>
      <c r="B125" s="183"/>
      <c r="C125" s="183"/>
      <c r="D125" s="184"/>
      <c r="E125" s="185"/>
      <c r="F125" s="186"/>
      <c r="G125" s="184"/>
      <c r="H125" s="311"/>
      <c r="I125" s="187"/>
      <c r="J125" s="187"/>
      <c r="K125" s="187"/>
      <c r="L125" s="187"/>
      <c r="M125" s="311"/>
      <c r="N125" s="188"/>
      <c r="O125" s="239"/>
      <c r="P125" s="189"/>
      <c r="Q125" s="188"/>
      <c r="R125" s="188"/>
      <c r="S125" s="188"/>
      <c r="T125" s="188"/>
      <c r="U125" s="188"/>
      <c r="V125" s="188"/>
      <c r="W125" s="188"/>
      <c r="X125" s="188"/>
      <c r="Y125" s="188"/>
      <c r="Z125" s="188"/>
      <c r="AA125" s="188"/>
      <c r="AB125" s="188"/>
      <c r="AC125" s="188"/>
      <c r="AD125" s="188"/>
      <c r="AE125" s="188"/>
      <c r="AF125" s="188"/>
      <c r="AG125" s="188"/>
      <c r="AH125" s="188"/>
      <c r="AI125" s="188"/>
      <c r="AJ125" s="188"/>
      <c r="AK125" s="188"/>
      <c r="AL125" s="188"/>
      <c r="AM125" s="188"/>
      <c r="AN125" s="188"/>
      <c r="AO125" s="188"/>
      <c r="AP125" s="188"/>
      <c r="AQ125" s="188"/>
      <c r="AR125" s="188"/>
      <c r="AS125" s="188"/>
      <c r="AT125" s="188"/>
      <c r="AU125" s="188"/>
      <c r="AV125" s="188"/>
      <c r="AW125" s="188"/>
      <c r="AX125" s="188"/>
      <c r="AY125" s="188"/>
      <c r="AZ125" s="188"/>
      <c r="BA125" s="188"/>
      <c r="BB125" s="190"/>
      <c r="BC125" s="190"/>
      <c r="BD125" s="190"/>
      <c r="BE125" s="192"/>
    </row>
    <row r="126" spans="1:57" s="182" customFormat="1" ht="15.75">
      <c r="A126" s="170" t="s">
        <v>310</v>
      </c>
      <c r="B126" s="183"/>
      <c r="C126" s="183"/>
      <c r="D126" s="184"/>
      <c r="E126" s="185"/>
      <c r="F126" s="186"/>
      <c r="G126" s="184"/>
      <c r="H126" s="311"/>
      <c r="I126" s="187"/>
      <c r="J126" s="187"/>
      <c r="K126" s="187"/>
      <c r="L126" s="187"/>
      <c r="M126" s="311"/>
      <c r="N126" s="188"/>
      <c r="O126" s="239"/>
      <c r="P126" s="189"/>
      <c r="Q126" s="188"/>
      <c r="R126" s="188"/>
      <c r="S126" s="188"/>
      <c r="T126" s="188"/>
      <c r="U126" s="188"/>
      <c r="V126" s="188"/>
      <c r="W126" s="188"/>
      <c r="X126" s="188"/>
      <c r="Y126" s="188"/>
      <c r="Z126" s="188"/>
      <c r="AA126" s="188"/>
      <c r="AB126" s="188"/>
      <c r="AC126" s="188"/>
      <c r="AD126" s="188"/>
      <c r="AE126" s="188"/>
      <c r="AF126" s="188"/>
      <c r="AG126" s="188"/>
      <c r="AH126" s="188"/>
      <c r="AI126" s="188"/>
      <c r="AJ126" s="188"/>
      <c r="AK126" s="188"/>
      <c r="AL126" s="188"/>
      <c r="AM126" s="188"/>
      <c r="AN126" s="188"/>
      <c r="AO126" s="188"/>
      <c r="AP126" s="188"/>
      <c r="AQ126" s="188"/>
      <c r="AR126" s="188"/>
      <c r="AS126" s="188"/>
      <c r="AT126" s="188"/>
      <c r="AU126" s="188"/>
      <c r="AV126" s="188"/>
      <c r="AW126" s="188"/>
      <c r="AX126" s="188"/>
      <c r="AY126" s="188"/>
      <c r="AZ126" s="188"/>
      <c r="BA126" s="188"/>
      <c r="BB126" s="190"/>
      <c r="BC126" s="190"/>
      <c r="BD126" s="190"/>
      <c r="BE126" s="192"/>
    </row>
    <row r="127" spans="1:57" s="182" customFormat="1" ht="15.75">
      <c r="A127" s="170"/>
      <c r="B127" s="183"/>
      <c r="C127" s="183"/>
      <c r="D127" s="184"/>
      <c r="E127" s="185"/>
      <c r="F127" s="186"/>
      <c r="G127" s="184"/>
      <c r="H127" s="311"/>
      <c r="I127" s="187"/>
      <c r="J127" s="187"/>
      <c r="K127" s="187"/>
      <c r="L127" s="187"/>
      <c r="M127" s="311"/>
      <c r="N127" s="188"/>
      <c r="O127" s="239"/>
      <c r="P127" s="189"/>
      <c r="Q127" s="188"/>
      <c r="R127" s="188"/>
      <c r="S127" s="188"/>
      <c r="T127" s="188"/>
      <c r="U127" s="188"/>
      <c r="V127" s="188"/>
      <c r="W127" s="188"/>
      <c r="X127" s="188"/>
      <c r="Y127" s="188"/>
      <c r="Z127" s="188"/>
      <c r="AA127" s="188"/>
      <c r="AB127" s="188"/>
      <c r="AC127" s="188"/>
      <c r="AD127" s="188"/>
      <c r="AE127" s="188"/>
      <c r="AF127" s="188"/>
      <c r="AG127" s="188"/>
      <c r="AH127" s="188"/>
      <c r="AI127" s="188"/>
      <c r="AJ127" s="188"/>
      <c r="AK127" s="188"/>
      <c r="AL127" s="188"/>
      <c r="AM127" s="188"/>
      <c r="AN127" s="188"/>
      <c r="AO127" s="188"/>
      <c r="AP127" s="188"/>
      <c r="AQ127" s="188"/>
      <c r="AR127" s="188"/>
      <c r="AS127" s="188"/>
      <c r="AT127" s="188"/>
      <c r="AU127" s="188"/>
      <c r="AV127" s="188"/>
      <c r="AW127" s="188"/>
      <c r="AX127" s="188"/>
      <c r="AY127" s="188"/>
      <c r="AZ127" s="188"/>
      <c r="BA127" s="188"/>
      <c r="BB127" s="190"/>
      <c r="BC127" s="190"/>
      <c r="BD127" s="190"/>
      <c r="BE127" s="192"/>
    </row>
    <row r="128" spans="1:57" s="182" customFormat="1" ht="15.75">
      <c r="A128" s="193" t="s">
        <v>288</v>
      </c>
      <c r="B128" s="183"/>
      <c r="C128" s="183"/>
      <c r="D128" s="184"/>
      <c r="E128" s="185"/>
      <c r="F128" s="186"/>
      <c r="G128" s="184"/>
      <c r="H128" s="311"/>
      <c r="I128" s="187"/>
      <c r="J128" s="187"/>
      <c r="K128" s="187"/>
      <c r="L128" s="187"/>
      <c r="M128" s="311"/>
      <c r="N128" s="188"/>
      <c r="O128" s="239"/>
      <c r="P128" s="189"/>
      <c r="Q128" s="188"/>
      <c r="R128" s="188"/>
      <c r="S128" s="188"/>
      <c r="T128" s="188"/>
      <c r="U128" s="188"/>
      <c r="V128" s="188"/>
      <c r="W128" s="188"/>
      <c r="X128" s="188"/>
      <c r="Y128" s="188"/>
      <c r="Z128" s="188"/>
      <c r="AA128" s="188"/>
      <c r="AB128" s="188"/>
      <c r="AC128" s="188"/>
      <c r="AD128" s="188"/>
      <c r="AE128" s="188"/>
      <c r="AF128" s="188"/>
      <c r="AG128" s="188"/>
      <c r="AH128" s="188"/>
      <c r="AI128" s="188"/>
      <c r="AJ128" s="188"/>
      <c r="AK128" s="188"/>
      <c r="AL128" s="188"/>
      <c r="AM128" s="188"/>
      <c r="AN128" s="188"/>
      <c r="AO128" s="188"/>
      <c r="AP128" s="188"/>
      <c r="AQ128" s="188"/>
      <c r="AR128" s="188"/>
      <c r="AS128" s="188"/>
      <c r="AT128" s="188"/>
      <c r="AU128" s="188"/>
      <c r="AV128" s="188"/>
      <c r="AW128" s="188"/>
      <c r="AX128" s="188"/>
      <c r="AY128" s="188"/>
      <c r="AZ128" s="188"/>
      <c r="BA128" s="188"/>
      <c r="BB128" s="190"/>
      <c r="BC128" s="190"/>
      <c r="BD128" s="190"/>
      <c r="BE128" s="192"/>
    </row>
    <row r="129" spans="1:57" s="182" customFormat="1" ht="15.75">
      <c r="A129" s="194" t="s">
        <v>289</v>
      </c>
      <c r="B129" s="183"/>
      <c r="C129" s="183"/>
      <c r="D129" s="184"/>
      <c r="E129" s="185"/>
      <c r="F129" s="186"/>
      <c r="G129" s="184"/>
      <c r="H129" s="311"/>
      <c r="I129" s="187"/>
      <c r="J129" s="187"/>
      <c r="K129" s="187"/>
      <c r="L129" s="187"/>
      <c r="M129" s="311"/>
      <c r="N129" s="188"/>
      <c r="O129" s="239"/>
      <c r="P129" s="189"/>
      <c r="Q129" s="188"/>
      <c r="R129" s="188"/>
      <c r="S129" s="188"/>
      <c r="T129" s="188"/>
      <c r="U129" s="188"/>
      <c r="V129" s="188"/>
      <c r="W129" s="188"/>
      <c r="X129" s="188"/>
      <c r="Y129" s="188"/>
      <c r="Z129" s="188"/>
      <c r="AA129" s="188"/>
      <c r="AB129" s="188"/>
      <c r="AC129" s="188"/>
      <c r="AD129" s="188"/>
      <c r="AE129" s="188"/>
      <c r="AF129" s="188"/>
      <c r="AG129" s="188"/>
      <c r="AH129" s="188"/>
      <c r="AI129" s="188"/>
      <c r="AJ129" s="188"/>
      <c r="AK129" s="188"/>
      <c r="AL129" s="188"/>
      <c r="AM129" s="188"/>
      <c r="AN129" s="188"/>
      <c r="AO129" s="188"/>
      <c r="AP129" s="188"/>
      <c r="AQ129" s="188"/>
      <c r="AR129" s="188"/>
      <c r="AS129" s="188"/>
      <c r="AT129" s="188"/>
      <c r="AU129" s="188"/>
      <c r="AV129" s="188"/>
      <c r="AW129" s="188"/>
      <c r="AX129" s="188"/>
      <c r="AY129" s="188"/>
      <c r="AZ129" s="188"/>
      <c r="BA129" s="188"/>
      <c r="BB129" s="190"/>
      <c r="BC129" s="190"/>
      <c r="BD129" s="190"/>
      <c r="BE129" s="192"/>
    </row>
    <row r="130" spans="1:57" s="182" customFormat="1" ht="15.75">
      <c r="A130" s="194" t="s">
        <v>290</v>
      </c>
      <c r="B130" s="183"/>
      <c r="C130" s="183"/>
      <c r="D130" s="184"/>
      <c r="E130" s="185"/>
      <c r="F130" s="186"/>
      <c r="G130" s="184"/>
      <c r="H130" s="311"/>
      <c r="I130" s="187"/>
      <c r="J130" s="187"/>
      <c r="K130" s="187"/>
      <c r="L130" s="187"/>
      <c r="M130" s="311"/>
      <c r="N130" s="188"/>
      <c r="O130" s="239"/>
      <c r="P130" s="189"/>
      <c r="Q130" s="188"/>
      <c r="R130" s="188"/>
      <c r="S130" s="188"/>
      <c r="T130" s="188"/>
      <c r="U130" s="188"/>
      <c r="V130" s="188"/>
      <c r="W130" s="188"/>
      <c r="X130" s="188"/>
      <c r="Y130" s="188"/>
      <c r="Z130" s="188"/>
      <c r="AA130" s="188"/>
      <c r="AB130" s="188"/>
      <c r="AC130" s="188"/>
      <c r="AD130" s="188"/>
      <c r="AE130" s="188"/>
      <c r="AF130" s="188"/>
      <c r="AG130" s="188"/>
      <c r="AH130" s="188"/>
      <c r="AI130" s="188"/>
      <c r="AJ130" s="188"/>
      <c r="AK130" s="188"/>
      <c r="AL130" s="188"/>
      <c r="AM130" s="188"/>
      <c r="AN130" s="188"/>
      <c r="AO130" s="188"/>
      <c r="AP130" s="188"/>
      <c r="AQ130" s="188"/>
      <c r="AR130" s="188"/>
      <c r="AS130" s="188"/>
      <c r="AT130" s="188"/>
      <c r="AU130" s="188"/>
      <c r="AV130" s="188"/>
      <c r="AW130" s="188"/>
      <c r="AX130" s="188"/>
      <c r="AY130" s="188"/>
      <c r="AZ130" s="188"/>
      <c r="BA130" s="188"/>
      <c r="BB130" s="190"/>
      <c r="BC130" s="190"/>
      <c r="BD130" s="190"/>
      <c r="BE130" s="192"/>
    </row>
    <row r="131" spans="1:57" s="182" customFormat="1" ht="15.75">
      <c r="A131" s="194" t="s">
        <v>572</v>
      </c>
      <c r="B131" s="183"/>
      <c r="C131" s="183"/>
      <c r="D131" s="184"/>
      <c r="E131" s="185"/>
      <c r="F131" s="186"/>
      <c r="G131" s="184"/>
      <c r="H131" s="311"/>
      <c r="I131" s="187"/>
      <c r="J131" s="187"/>
      <c r="K131" s="187"/>
      <c r="L131" s="187"/>
      <c r="M131" s="311"/>
      <c r="N131" s="188"/>
      <c r="O131" s="239"/>
      <c r="P131" s="189"/>
      <c r="Q131" s="188"/>
      <c r="R131" s="188"/>
      <c r="S131" s="188"/>
      <c r="T131" s="188"/>
      <c r="U131" s="188"/>
      <c r="V131" s="188"/>
      <c r="W131" s="188"/>
      <c r="X131" s="188"/>
      <c r="Y131" s="188"/>
      <c r="Z131" s="188"/>
      <c r="AA131" s="188"/>
      <c r="AB131" s="188"/>
      <c r="AC131" s="188"/>
      <c r="AD131" s="188"/>
      <c r="AE131" s="188"/>
      <c r="AF131" s="188"/>
      <c r="AG131" s="188"/>
      <c r="AH131" s="188"/>
      <c r="AI131" s="188"/>
      <c r="AJ131" s="188"/>
      <c r="AK131" s="188"/>
      <c r="AL131" s="188"/>
      <c r="AM131" s="188"/>
      <c r="AN131" s="188"/>
      <c r="AO131" s="188"/>
      <c r="AP131" s="188"/>
      <c r="AQ131" s="188"/>
      <c r="AR131" s="188"/>
      <c r="AS131" s="188"/>
      <c r="AT131" s="188"/>
      <c r="AU131" s="188"/>
      <c r="AV131" s="188"/>
      <c r="AW131" s="188"/>
      <c r="AX131" s="188"/>
      <c r="AY131" s="188"/>
      <c r="AZ131" s="188"/>
      <c r="BA131" s="188"/>
      <c r="BB131" s="190"/>
      <c r="BC131" s="190"/>
      <c r="BD131" s="190"/>
      <c r="BE131" s="192"/>
    </row>
    <row r="132" spans="1:57" s="182" customFormat="1" ht="15.75">
      <c r="A132" s="195" t="s">
        <v>291</v>
      </c>
      <c r="B132" s="183"/>
      <c r="C132" s="183"/>
      <c r="D132" s="184"/>
      <c r="E132" s="185"/>
      <c r="F132" s="186"/>
      <c r="G132" s="184"/>
      <c r="H132" s="311"/>
      <c r="I132" s="187"/>
      <c r="J132" s="187"/>
      <c r="K132" s="187"/>
      <c r="L132" s="187"/>
      <c r="M132" s="311"/>
      <c r="N132" s="188"/>
      <c r="O132" s="239"/>
      <c r="P132" s="189"/>
      <c r="Q132" s="188"/>
      <c r="R132" s="188"/>
      <c r="S132" s="188"/>
      <c r="T132" s="188"/>
      <c r="U132" s="188"/>
      <c r="V132" s="188"/>
      <c r="W132" s="188"/>
      <c r="X132" s="188"/>
      <c r="Y132" s="188"/>
      <c r="Z132" s="188"/>
      <c r="AA132" s="188"/>
      <c r="AB132" s="188"/>
      <c r="AC132" s="188"/>
      <c r="AD132" s="188"/>
      <c r="AE132" s="188"/>
      <c r="AF132" s="188"/>
      <c r="AG132" s="188"/>
      <c r="AH132" s="188"/>
      <c r="AI132" s="188"/>
      <c r="AJ132" s="188"/>
      <c r="AK132" s="188"/>
      <c r="AL132" s="188"/>
      <c r="AM132" s="188"/>
      <c r="AN132" s="188"/>
      <c r="AO132" s="188"/>
      <c r="AP132" s="188"/>
      <c r="AQ132" s="188"/>
      <c r="AR132" s="188"/>
      <c r="AS132" s="188"/>
      <c r="AT132" s="188"/>
      <c r="AU132" s="188"/>
      <c r="AV132" s="188"/>
      <c r="AW132" s="188"/>
      <c r="AX132" s="188"/>
      <c r="AY132" s="188"/>
      <c r="AZ132" s="188"/>
      <c r="BA132" s="188"/>
      <c r="BB132" s="190"/>
      <c r="BC132" s="190"/>
      <c r="BD132" s="190"/>
      <c r="BE132" s="192"/>
    </row>
    <row r="133" spans="1:57" s="182" customFormat="1" ht="15.75">
      <c r="A133" s="194" t="s">
        <v>292</v>
      </c>
      <c r="B133" s="183"/>
      <c r="C133" s="183"/>
      <c r="D133" s="184"/>
      <c r="E133" s="185"/>
      <c r="F133" s="186"/>
      <c r="G133" s="184"/>
      <c r="H133" s="311"/>
      <c r="I133" s="187"/>
      <c r="J133" s="187"/>
      <c r="K133" s="187"/>
      <c r="L133" s="187"/>
      <c r="M133" s="311"/>
      <c r="N133" s="188"/>
      <c r="O133" s="239"/>
      <c r="P133" s="189"/>
      <c r="Q133" s="188"/>
      <c r="R133" s="188"/>
      <c r="S133" s="188"/>
      <c r="T133" s="188"/>
      <c r="U133" s="188"/>
      <c r="V133" s="188"/>
      <c r="W133" s="188"/>
      <c r="X133" s="188"/>
      <c r="Y133" s="188"/>
      <c r="Z133" s="188"/>
      <c r="AA133" s="188"/>
      <c r="AB133" s="188"/>
      <c r="AC133" s="188"/>
      <c r="AD133" s="188"/>
      <c r="AE133" s="188"/>
      <c r="AF133" s="188"/>
      <c r="AG133" s="188"/>
      <c r="AH133" s="188"/>
      <c r="AI133" s="188"/>
      <c r="AJ133" s="188"/>
      <c r="AK133" s="188"/>
      <c r="AL133" s="188"/>
      <c r="AM133" s="188"/>
      <c r="AN133" s="188"/>
      <c r="AO133" s="188"/>
      <c r="AP133" s="188"/>
      <c r="AQ133" s="188"/>
      <c r="AR133" s="188"/>
      <c r="AS133" s="188"/>
      <c r="AT133" s="188"/>
      <c r="AU133" s="188"/>
      <c r="AV133" s="188"/>
      <c r="AW133" s="188"/>
      <c r="AX133" s="188"/>
      <c r="AY133" s="188"/>
      <c r="AZ133" s="188"/>
      <c r="BA133" s="188"/>
      <c r="BB133" s="190"/>
      <c r="BC133" s="190"/>
      <c r="BD133" s="190"/>
      <c r="BE133" s="192"/>
    </row>
    <row r="134" spans="1:57" s="182" customFormat="1" ht="15.75">
      <c r="A134" s="194" t="s">
        <v>573</v>
      </c>
      <c r="B134" s="183"/>
      <c r="C134" s="183"/>
      <c r="D134" s="184"/>
      <c r="E134" s="185"/>
      <c r="F134" s="186"/>
      <c r="G134" s="184"/>
      <c r="H134" s="311"/>
      <c r="I134" s="187"/>
      <c r="J134" s="187"/>
      <c r="K134" s="187"/>
      <c r="L134" s="187"/>
      <c r="M134" s="311"/>
      <c r="N134" s="188"/>
      <c r="O134" s="239"/>
      <c r="P134" s="189"/>
      <c r="Q134" s="188"/>
      <c r="R134" s="188"/>
      <c r="S134" s="188"/>
      <c r="T134" s="188"/>
      <c r="U134" s="188"/>
      <c r="V134" s="188"/>
      <c r="W134" s="188"/>
      <c r="X134" s="188"/>
      <c r="Y134" s="188"/>
      <c r="Z134" s="188"/>
      <c r="AA134" s="188"/>
      <c r="AB134" s="188"/>
      <c r="AC134" s="188"/>
      <c r="AD134" s="188"/>
      <c r="AE134" s="188"/>
      <c r="AF134" s="188"/>
      <c r="AG134" s="188"/>
      <c r="AH134" s="188"/>
      <c r="AI134" s="188"/>
      <c r="AJ134" s="188"/>
      <c r="AK134" s="188"/>
      <c r="AL134" s="188"/>
      <c r="AM134" s="188"/>
      <c r="AN134" s="188"/>
      <c r="AO134" s="188"/>
      <c r="AP134" s="188"/>
      <c r="AQ134" s="188"/>
      <c r="AR134" s="188"/>
      <c r="AS134" s="188"/>
      <c r="AT134" s="188"/>
      <c r="AU134" s="188"/>
      <c r="AV134" s="188"/>
      <c r="AW134" s="188"/>
      <c r="AX134" s="188"/>
      <c r="AY134" s="188"/>
      <c r="AZ134" s="188"/>
      <c r="BA134" s="188"/>
      <c r="BB134" s="190"/>
      <c r="BC134" s="190"/>
      <c r="BD134" s="190"/>
      <c r="BE134" s="192"/>
    </row>
    <row r="135" spans="1:57" s="182" customFormat="1" ht="15.75">
      <c r="A135" s="194" t="s">
        <v>293</v>
      </c>
      <c r="B135" s="183"/>
      <c r="C135" s="183"/>
      <c r="D135" s="184"/>
      <c r="E135" s="185"/>
      <c r="F135" s="186"/>
      <c r="G135" s="184"/>
      <c r="H135" s="311"/>
      <c r="I135" s="187"/>
      <c r="J135" s="187"/>
      <c r="K135" s="187"/>
      <c r="L135" s="187"/>
      <c r="M135" s="311"/>
      <c r="N135" s="188"/>
      <c r="O135" s="239"/>
      <c r="P135" s="189"/>
      <c r="Q135" s="188"/>
      <c r="R135" s="188"/>
      <c r="S135" s="188"/>
      <c r="T135" s="188"/>
      <c r="U135" s="188"/>
      <c r="V135" s="188"/>
      <c r="W135" s="188"/>
      <c r="X135" s="188"/>
      <c r="Y135" s="188"/>
      <c r="Z135" s="188"/>
      <c r="AA135" s="188"/>
      <c r="AB135" s="188"/>
      <c r="AC135" s="188"/>
      <c r="AD135" s="188"/>
      <c r="AE135" s="188"/>
      <c r="AF135" s="188"/>
      <c r="AG135" s="188"/>
      <c r="AH135" s="188"/>
      <c r="AI135" s="188"/>
      <c r="AJ135" s="188"/>
      <c r="AK135" s="188"/>
      <c r="AL135" s="188"/>
      <c r="AM135" s="188"/>
      <c r="AN135" s="188"/>
      <c r="AO135" s="188"/>
      <c r="AP135" s="188"/>
      <c r="AQ135" s="188"/>
      <c r="AR135" s="188"/>
      <c r="AS135" s="188"/>
      <c r="AT135" s="188"/>
      <c r="AU135" s="188"/>
      <c r="AV135" s="188"/>
      <c r="AW135" s="188"/>
      <c r="AX135" s="188"/>
      <c r="AY135" s="188"/>
      <c r="AZ135" s="188"/>
      <c r="BA135" s="188"/>
      <c r="BB135" s="190"/>
      <c r="BC135" s="190"/>
      <c r="BD135" s="190"/>
      <c r="BE135" s="192"/>
    </row>
    <row r="136" spans="1:57" s="167" customFormat="1" ht="15.75">
      <c r="A136" s="193"/>
      <c r="B136" s="168"/>
      <c r="C136" s="168"/>
      <c r="D136" s="196"/>
      <c r="E136" s="197"/>
      <c r="F136" s="198"/>
      <c r="G136" s="196"/>
      <c r="I136" s="168"/>
      <c r="J136" s="168"/>
      <c r="K136" s="168"/>
      <c r="L136" s="168"/>
      <c r="O136" s="168"/>
      <c r="P136" s="199"/>
      <c r="BB136" s="200"/>
      <c r="BC136" s="200"/>
      <c r="BD136" s="200"/>
      <c r="BE136" s="202"/>
    </row>
    <row r="137" spans="1:57" s="203" customFormat="1" ht="15.75">
      <c r="A137" s="374" t="s">
        <v>294</v>
      </c>
      <c r="B137" s="375"/>
      <c r="C137" s="375"/>
      <c r="D137" s="376"/>
      <c r="E137" s="377"/>
      <c r="F137" s="378"/>
      <c r="G137" s="376"/>
      <c r="H137" s="379"/>
      <c r="I137" s="375"/>
      <c r="J137" s="375"/>
      <c r="K137" s="375"/>
      <c r="L137" s="375"/>
      <c r="M137" s="379"/>
      <c r="N137" s="379"/>
      <c r="O137" s="375"/>
      <c r="P137" s="380"/>
      <c r="Q137" s="379"/>
      <c r="BB137" s="209"/>
      <c r="BC137" s="209"/>
      <c r="BD137" s="209"/>
      <c r="BE137" s="211"/>
    </row>
    <row r="138" spans="1:57" s="203" customFormat="1">
      <c r="A138" s="381" t="s">
        <v>295</v>
      </c>
      <c r="B138" s="375"/>
      <c r="C138" s="375"/>
      <c r="D138" s="376"/>
      <c r="E138" s="377"/>
      <c r="F138" s="378"/>
      <c r="G138" s="376"/>
      <c r="H138" s="379"/>
      <c r="I138" s="375"/>
      <c r="J138" s="375"/>
      <c r="K138" s="375"/>
      <c r="L138" s="375"/>
      <c r="M138" s="379"/>
      <c r="N138" s="379"/>
      <c r="O138" s="375"/>
      <c r="P138" s="380"/>
      <c r="Q138" s="379"/>
      <c r="BB138" s="209"/>
      <c r="BC138" s="209"/>
      <c r="BD138" s="209"/>
      <c r="BE138" s="211"/>
    </row>
    <row r="139" spans="1:57" s="203" customFormat="1">
      <c r="A139" s="382" t="s">
        <v>296</v>
      </c>
      <c r="B139" s="375"/>
      <c r="C139" s="375"/>
      <c r="D139" s="376"/>
      <c r="E139" s="377"/>
      <c r="F139" s="378"/>
      <c r="G139" s="376"/>
      <c r="H139" s="379"/>
      <c r="I139" s="375"/>
      <c r="J139" s="375"/>
      <c r="K139" s="375"/>
      <c r="L139" s="375"/>
      <c r="M139" s="379"/>
      <c r="N139" s="379"/>
      <c r="O139" s="375"/>
      <c r="P139" s="380"/>
      <c r="Q139" s="379"/>
      <c r="BB139" s="209"/>
      <c r="BC139" s="209"/>
      <c r="BD139" s="209"/>
      <c r="BE139" s="211"/>
    </row>
    <row r="140" spans="1:57" s="203" customFormat="1">
      <c r="A140" s="381" t="s">
        <v>297</v>
      </c>
      <c r="B140" s="375"/>
      <c r="C140" s="375"/>
      <c r="D140" s="376"/>
      <c r="E140" s="377"/>
      <c r="F140" s="378"/>
      <c r="G140" s="376"/>
      <c r="H140" s="379"/>
      <c r="I140" s="375"/>
      <c r="J140" s="375"/>
      <c r="K140" s="375"/>
      <c r="L140" s="375"/>
      <c r="M140" s="379"/>
      <c r="N140" s="379"/>
      <c r="O140" s="375"/>
      <c r="P140" s="380"/>
      <c r="Q140" s="379"/>
      <c r="BB140" s="209"/>
      <c r="BC140" s="209"/>
      <c r="BD140" s="209"/>
      <c r="BE140" s="211"/>
    </row>
    <row r="141" spans="1:57" s="203" customFormat="1">
      <c r="A141" s="381" t="s">
        <v>298</v>
      </c>
      <c r="B141" s="375"/>
      <c r="C141" s="375"/>
      <c r="D141" s="376"/>
      <c r="E141" s="377"/>
      <c r="F141" s="378"/>
      <c r="G141" s="376"/>
      <c r="H141" s="379"/>
      <c r="I141" s="375"/>
      <c r="J141" s="375"/>
      <c r="K141" s="375"/>
      <c r="L141" s="375"/>
      <c r="M141" s="379"/>
      <c r="N141" s="379"/>
      <c r="O141" s="375"/>
      <c r="P141" s="380"/>
      <c r="Q141" s="379"/>
      <c r="BB141" s="209"/>
      <c r="BC141" s="209"/>
      <c r="BD141" s="209"/>
      <c r="BE141" s="211"/>
    </row>
    <row r="142" spans="1:57" s="203" customFormat="1">
      <c r="A142" s="381" t="s">
        <v>299</v>
      </c>
      <c r="B142" s="375"/>
      <c r="C142" s="375"/>
      <c r="D142" s="376"/>
      <c r="E142" s="377"/>
      <c r="F142" s="378"/>
      <c r="G142" s="376"/>
      <c r="H142" s="379"/>
      <c r="I142" s="375"/>
      <c r="J142" s="375"/>
      <c r="K142" s="375"/>
      <c r="L142" s="375"/>
      <c r="M142" s="379"/>
      <c r="N142" s="379"/>
      <c r="O142" s="375"/>
      <c r="P142" s="380"/>
      <c r="Q142" s="379"/>
      <c r="BB142" s="209"/>
      <c r="BC142" s="209"/>
      <c r="BD142" s="209"/>
      <c r="BE142" s="211"/>
    </row>
    <row r="143" spans="1:57" s="203" customFormat="1">
      <c r="A143" s="381" t="s">
        <v>300</v>
      </c>
      <c r="B143" s="375"/>
      <c r="C143" s="375"/>
      <c r="D143" s="376"/>
      <c r="E143" s="377"/>
      <c r="F143" s="378"/>
      <c r="G143" s="376"/>
      <c r="H143" s="379"/>
      <c r="I143" s="375"/>
      <c r="J143" s="375"/>
      <c r="K143" s="375"/>
      <c r="L143" s="375"/>
      <c r="M143" s="379"/>
      <c r="N143" s="379"/>
      <c r="O143" s="375"/>
      <c r="P143" s="380"/>
      <c r="Q143" s="379"/>
      <c r="BB143" s="209"/>
      <c r="BC143" s="209"/>
      <c r="BD143" s="209"/>
      <c r="BE143" s="211"/>
    </row>
    <row r="144" spans="1:57" s="203" customFormat="1">
      <c r="A144" s="382" t="s">
        <v>301</v>
      </c>
      <c r="B144" s="375"/>
      <c r="C144" s="375"/>
      <c r="D144" s="376"/>
      <c r="E144" s="377"/>
      <c r="F144" s="378"/>
      <c r="G144" s="376"/>
      <c r="H144" s="379"/>
      <c r="I144" s="375"/>
      <c r="J144" s="375"/>
      <c r="K144" s="375"/>
      <c r="L144" s="375"/>
      <c r="M144" s="379"/>
      <c r="N144" s="379"/>
      <c r="O144" s="375"/>
      <c r="P144" s="380"/>
      <c r="Q144" s="379"/>
      <c r="BB144" s="209"/>
      <c r="BC144" s="209"/>
      <c r="BD144" s="209"/>
      <c r="BE144" s="211"/>
    </row>
    <row r="145" spans="1:57" s="203" customFormat="1">
      <c r="A145" s="382" t="s">
        <v>302</v>
      </c>
      <c r="B145" s="375"/>
      <c r="C145" s="375"/>
      <c r="D145" s="376"/>
      <c r="E145" s="377"/>
      <c r="F145" s="378"/>
      <c r="G145" s="376"/>
      <c r="H145" s="379"/>
      <c r="I145" s="375"/>
      <c r="J145" s="375"/>
      <c r="K145" s="375"/>
      <c r="L145" s="375"/>
      <c r="M145" s="379"/>
      <c r="N145" s="379"/>
      <c r="O145" s="375"/>
      <c r="P145" s="380"/>
      <c r="Q145" s="379"/>
      <c r="BB145" s="209"/>
      <c r="BC145" s="209"/>
      <c r="BD145" s="209"/>
      <c r="BE145" s="211"/>
    </row>
    <row r="146" spans="1:57" s="203" customFormat="1">
      <c r="A146" s="383" t="s">
        <v>574</v>
      </c>
      <c r="B146" s="384"/>
      <c r="C146" s="384"/>
      <c r="D146" s="385"/>
      <c r="E146" s="386"/>
      <c r="F146" s="378"/>
      <c r="G146" s="376"/>
      <c r="H146" s="379"/>
      <c r="I146" s="375"/>
      <c r="J146" s="375"/>
      <c r="K146" s="375"/>
      <c r="L146" s="375"/>
      <c r="M146" s="379"/>
      <c r="N146" s="379"/>
      <c r="O146" s="375"/>
      <c r="P146" s="380"/>
      <c r="Q146" s="379"/>
      <c r="BB146" s="209"/>
      <c r="BC146" s="209"/>
      <c r="BD146" s="209"/>
      <c r="BE146" s="211"/>
    </row>
    <row r="147" spans="1:57" s="203" customFormat="1">
      <c r="A147" s="212"/>
      <c r="B147" s="204"/>
      <c r="C147" s="204"/>
      <c r="D147" s="205"/>
      <c r="E147" s="206"/>
      <c r="F147" s="207"/>
      <c r="G147" s="205"/>
      <c r="I147" s="204"/>
      <c r="J147" s="204"/>
      <c r="K147" s="204"/>
      <c r="L147" s="204"/>
      <c r="O147" s="204"/>
      <c r="P147" s="208"/>
      <c r="BB147" s="209"/>
      <c r="BC147" s="209"/>
      <c r="BD147" s="209"/>
      <c r="BE147" s="211"/>
    </row>
    <row r="148" spans="1:57" s="203" customFormat="1">
      <c r="A148" s="212"/>
      <c r="B148" s="204"/>
      <c r="C148" s="204"/>
      <c r="D148" s="205"/>
      <c r="E148" s="206"/>
      <c r="F148" s="207"/>
      <c r="G148" s="205"/>
      <c r="I148" s="204"/>
      <c r="J148" s="204"/>
      <c r="K148" s="204"/>
      <c r="L148" s="204"/>
      <c r="O148" s="204"/>
      <c r="P148" s="208"/>
      <c r="BB148" s="209"/>
      <c r="BC148" s="209"/>
      <c r="BD148" s="209"/>
      <c r="BE148" s="211"/>
    </row>
    <row r="149" spans="1:57" s="216" customFormat="1">
      <c r="A149" s="221"/>
      <c r="B149" s="217"/>
      <c r="C149" s="217"/>
      <c r="D149" s="222"/>
      <c r="E149" s="224"/>
      <c r="F149" s="220"/>
      <c r="G149" s="222"/>
      <c r="I149" s="217"/>
      <c r="J149" s="217"/>
      <c r="K149" s="217"/>
      <c r="L149" s="217"/>
      <c r="O149" s="217"/>
      <c r="P149" s="223"/>
      <c r="R149" s="218"/>
      <c r="S149" s="218"/>
      <c r="T149" s="218"/>
      <c r="U149" s="218"/>
      <c r="V149" s="218"/>
      <c r="W149" s="218"/>
      <c r="X149" s="218"/>
      <c r="Y149" s="218"/>
      <c r="Z149" s="218"/>
      <c r="AA149" s="218"/>
      <c r="AB149" s="218"/>
      <c r="AC149" s="218"/>
      <c r="AD149" s="219"/>
      <c r="AE149" s="219"/>
      <c r="AF149" s="219"/>
      <c r="AG149" s="219"/>
      <c r="AH149" s="219"/>
      <c r="AI149" s="219"/>
      <c r="AJ149" s="219"/>
      <c r="AK149" s="219"/>
      <c r="AL149" s="219"/>
      <c r="AM149" s="219"/>
      <c r="AN149" s="219"/>
      <c r="AO149" s="219"/>
      <c r="BB149" s="215"/>
      <c r="BC149" s="215"/>
      <c r="BD149" s="215"/>
      <c r="BE149" s="214"/>
    </row>
    <row r="150" spans="1:57" s="216" customFormat="1">
      <c r="A150" s="221"/>
      <c r="B150" s="217"/>
      <c r="C150" s="217"/>
      <c r="D150" s="222"/>
      <c r="E150" s="224"/>
      <c r="F150" s="220"/>
      <c r="G150" s="222"/>
      <c r="I150" s="217"/>
      <c r="J150" s="217"/>
      <c r="K150" s="217"/>
      <c r="L150" s="217"/>
      <c r="O150" s="217"/>
      <c r="P150" s="223"/>
      <c r="R150" s="218"/>
      <c r="S150" s="218"/>
      <c r="T150" s="218"/>
      <c r="U150" s="218"/>
      <c r="V150" s="218"/>
      <c r="W150" s="218"/>
      <c r="X150" s="218"/>
      <c r="Y150" s="218"/>
      <c r="Z150" s="218"/>
      <c r="AA150" s="218"/>
      <c r="AB150" s="218"/>
      <c r="AC150" s="218"/>
      <c r="AD150" s="219"/>
      <c r="AE150" s="219"/>
      <c r="AF150" s="219"/>
      <c r="AG150" s="219"/>
      <c r="AH150" s="219"/>
      <c r="AI150" s="219"/>
      <c r="AJ150" s="219"/>
      <c r="AK150" s="219"/>
      <c r="AL150" s="219"/>
      <c r="AM150" s="219"/>
      <c r="AN150" s="219"/>
      <c r="AO150" s="219"/>
      <c r="BB150" s="215"/>
      <c r="BC150" s="215"/>
      <c r="BD150" s="215"/>
      <c r="BE150" s="214"/>
    </row>
    <row r="151" spans="1:57" s="216" customFormat="1">
      <c r="A151" s="221"/>
      <c r="B151" s="217"/>
      <c r="C151" s="217"/>
      <c r="D151" s="222"/>
      <c r="E151" s="224"/>
      <c r="F151" s="220"/>
      <c r="G151" s="222"/>
      <c r="I151" s="217"/>
      <c r="J151" s="217"/>
      <c r="K151" s="217"/>
      <c r="L151" s="217"/>
      <c r="O151" s="217"/>
      <c r="P151" s="223"/>
      <c r="R151" s="218"/>
      <c r="S151" s="218"/>
      <c r="T151" s="218"/>
      <c r="U151" s="218"/>
      <c r="V151" s="218"/>
      <c r="W151" s="218"/>
      <c r="X151" s="218"/>
      <c r="Y151" s="218"/>
      <c r="Z151" s="218"/>
      <c r="AA151" s="218"/>
      <c r="AB151" s="218"/>
      <c r="AC151" s="218"/>
      <c r="AD151" s="219"/>
      <c r="AE151" s="219"/>
      <c r="AF151" s="219"/>
      <c r="AG151" s="219"/>
      <c r="AH151" s="219"/>
      <c r="AI151" s="219"/>
      <c r="AJ151" s="219"/>
      <c r="AK151" s="219"/>
      <c r="AL151" s="219"/>
      <c r="AM151" s="219"/>
      <c r="AN151" s="219"/>
      <c r="AO151" s="219"/>
      <c r="BB151" s="215"/>
      <c r="BC151" s="215"/>
      <c r="BD151" s="215"/>
      <c r="BE151" s="214"/>
    </row>
    <row r="152" spans="1:57" s="216" customFormat="1">
      <c r="A152" s="221"/>
      <c r="B152" s="217"/>
      <c r="C152" s="217"/>
      <c r="D152" s="222"/>
      <c r="E152" s="224"/>
      <c r="F152" s="220"/>
      <c r="G152" s="222"/>
      <c r="I152" s="217"/>
      <c r="J152" s="217"/>
      <c r="K152" s="217"/>
      <c r="L152" s="217"/>
      <c r="O152" s="217"/>
      <c r="P152" s="223"/>
      <c r="R152" s="218"/>
      <c r="S152" s="218"/>
      <c r="T152" s="218"/>
      <c r="U152" s="218"/>
      <c r="V152" s="218"/>
      <c r="W152" s="218"/>
      <c r="X152" s="218"/>
      <c r="Y152" s="218"/>
      <c r="Z152" s="218"/>
      <c r="AA152" s="218"/>
      <c r="AB152" s="218"/>
      <c r="AC152" s="218"/>
      <c r="AD152" s="219"/>
      <c r="AE152" s="219"/>
      <c r="AF152" s="219"/>
      <c r="AG152" s="219"/>
      <c r="AH152" s="219"/>
      <c r="AI152" s="219"/>
      <c r="AJ152" s="219"/>
      <c r="AK152" s="219"/>
      <c r="AL152" s="219"/>
      <c r="AM152" s="219"/>
      <c r="AN152" s="219"/>
      <c r="AO152" s="219"/>
      <c r="BB152" s="215"/>
      <c r="BC152" s="215"/>
      <c r="BD152" s="215"/>
      <c r="BE152" s="214"/>
    </row>
    <row r="153" spans="1:57" s="216" customFormat="1">
      <c r="A153" s="221"/>
      <c r="B153" s="217"/>
      <c r="C153" s="217"/>
      <c r="D153" s="222"/>
      <c r="E153" s="224"/>
      <c r="F153" s="220"/>
      <c r="G153" s="222"/>
      <c r="I153" s="217"/>
      <c r="J153" s="217"/>
      <c r="K153" s="217"/>
      <c r="L153" s="217"/>
      <c r="O153" s="217"/>
      <c r="P153" s="223"/>
      <c r="R153" s="218"/>
      <c r="S153" s="218"/>
      <c r="T153" s="218"/>
      <c r="U153" s="218"/>
      <c r="V153" s="218"/>
      <c r="W153" s="218"/>
      <c r="X153" s="218"/>
      <c r="Y153" s="218"/>
      <c r="Z153" s="218"/>
      <c r="AA153" s="218"/>
      <c r="AB153" s="218"/>
      <c r="AC153" s="218"/>
      <c r="AD153" s="219"/>
      <c r="AE153" s="219"/>
      <c r="AF153" s="219"/>
      <c r="AG153" s="219"/>
      <c r="AH153" s="219"/>
      <c r="AI153" s="219"/>
      <c r="AJ153" s="219"/>
      <c r="AK153" s="219"/>
      <c r="AL153" s="219"/>
      <c r="AM153" s="219"/>
      <c r="AN153" s="219"/>
      <c r="AO153" s="219"/>
      <c r="BB153" s="215"/>
      <c r="BC153" s="215"/>
      <c r="BD153" s="215"/>
      <c r="BE153" s="214"/>
    </row>
    <row r="154" spans="1:57" s="216" customFormat="1">
      <c r="A154" s="221"/>
      <c r="B154" s="217"/>
      <c r="C154" s="217"/>
      <c r="D154" s="222"/>
      <c r="E154" s="224"/>
      <c r="F154" s="220"/>
      <c r="G154" s="222"/>
      <c r="I154" s="217"/>
      <c r="J154" s="217"/>
      <c r="K154" s="217"/>
      <c r="L154" s="217"/>
      <c r="O154" s="217"/>
      <c r="P154" s="223"/>
      <c r="R154" s="218"/>
      <c r="S154" s="218"/>
      <c r="T154" s="218"/>
      <c r="U154" s="218"/>
      <c r="V154" s="218"/>
      <c r="W154" s="218"/>
      <c r="X154" s="218"/>
      <c r="Y154" s="218"/>
      <c r="Z154" s="218"/>
      <c r="AA154" s="218"/>
      <c r="AB154" s="218"/>
      <c r="AC154" s="218"/>
      <c r="AD154" s="219"/>
      <c r="AE154" s="219"/>
      <c r="AF154" s="219"/>
      <c r="AG154" s="219"/>
      <c r="AH154" s="219"/>
      <c r="AI154" s="219"/>
      <c r="AJ154" s="219"/>
      <c r="AK154" s="219"/>
      <c r="AL154" s="219"/>
      <c r="AM154" s="219"/>
      <c r="AN154" s="219"/>
      <c r="AO154" s="219"/>
      <c r="BB154" s="215"/>
      <c r="BC154" s="215"/>
      <c r="BD154" s="215"/>
      <c r="BE154" s="214"/>
    </row>
    <row r="155" spans="1:57" s="216" customFormat="1">
      <c r="A155" s="221"/>
      <c r="B155" s="217"/>
      <c r="C155" s="217"/>
      <c r="D155" s="222"/>
      <c r="E155" s="224"/>
      <c r="F155" s="220"/>
      <c r="G155" s="222"/>
      <c r="I155" s="217"/>
      <c r="J155" s="217"/>
      <c r="K155" s="217"/>
      <c r="L155" s="217"/>
      <c r="O155" s="217"/>
      <c r="P155" s="223"/>
      <c r="R155" s="218"/>
      <c r="S155" s="218"/>
      <c r="T155" s="218"/>
      <c r="U155" s="218"/>
      <c r="V155" s="218"/>
      <c r="W155" s="218"/>
      <c r="X155" s="218"/>
      <c r="Y155" s="218"/>
      <c r="Z155" s="218"/>
      <c r="AA155" s="218"/>
      <c r="AB155" s="218"/>
      <c r="AC155" s="218"/>
      <c r="AD155" s="219"/>
      <c r="AE155" s="219"/>
      <c r="AF155" s="219"/>
      <c r="AG155" s="219"/>
      <c r="AH155" s="219"/>
      <c r="AI155" s="219"/>
      <c r="AJ155" s="219"/>
      <c r="AK155" s="219"/>
      <c r="AL155" s="219"/>
      <c r="AM155" s="219"/>
      <c r="AN155" s="219"/>
      <c r="AO155" s="219"/>
      <c r="BB155" s="215"/>
      <c r="BC155" s="215"/>
      <c r="BD155" s="215"/>
      <c r="BE155" s="214"/>
    </row>
    <row r="156" spans="1:57" s="216" customFormat="1">
      <c r="A156" s="221"/>
      <c r="B156" s="217"/>
      <c r="C156" s="217"/>
      <c r="D156" s="222"/>
      <c r="E156" s="224"/>
      <c r="F156" s="220"/>
      <c r="G156" s="222"/>
      <c r="I156" s="217"/>
      <c r="J156" s="217"/>
      <c r="K156" s="217"/>
      <c r="L156" s="217"/>
      <c r="O156" s="217"/>
      <c r="P156" s="223"/>
      <c r="R156" s="218"/>
      <c r="S156" s="218"/>
      <c r="T156" s="218"/>
      <c r="U156" s="218"/>
      <c r="V156" s="218"/>
      <c r="W156" s="218"/>
      <c r="X156" s="218"/>
      <c r="Y156" s="218"/>
      <c r="Z156" s="218"/>
      <c r="AA156" s="218"/>
      <c r="AB156" s="218"/>
      <c r="AC156" s="218"/>
      <c r="AD156" s="219"/>
      <c r="AE156" s="219"/>
      <c r="AF156" s="219"/>
      <c r="AG156" s="219"/>
      <c r="AH156" s="219"/>
      <c r="AI156" s="219"/>
      <c r="AJ156" s="219"/>
      <c r="AK156" s="219"/>
      <c r="AL156" s="219"/>
      <c r="AM156" s="219"/>
      <c r="AN156" s="219"/>
      <c r="AO156" s="219"/>
      <c r="BB156" s="215"/>
      <c r="BC156" s="215"/>
      <c r="BD156" s="215"/>
      <c r="BE156" s="214"/>
    </row>
    <row r="157" spans="1:57" s="216" customFormat="1">
      <c r="A157" s="221"/>
      <c r="B157" s="217"/>
      <c r="C157" s="217"/>
      <c r="D157" s="222"/>
      <c r="E157" s="224"/>
      <c r="F157" s="220"/>
      <c r="G157" s="222"/>
      <c r="I157" s="217"/>
      <c r="J157" s="217"/>
      <c r="K157" s="217"/>
      <c r="L157" s="217"/>
      <c r="O157" s="217"/>
      <c r="P157" s="223"/>
      <c r="R157" s="218"/>
      <c r="S157" s="218"/>
      <c r="T157" s="218"/>
      <c r="U157" s="218"/>
      <c r="V157" s="218"/>
      <c r="W157" s="218"/>
      <c r="X157" s="218"/>
      <c r="Y157" s="218"/>
      <c r="Z157" s="218"/>
      <c r="AA157" s="218"/>
      <c r="AB157" s="218"/>
      <c r="AC157" s="218"/>
      <c r="AD157" s="219"/>
      <c r="AE157" s="219"/>
      <c r="AF157" s="219"/>
      <c r="AG157" s="219"/>
      <c r="AH157" s="219"/>
      <c r="AI157" s="219"/>
      <c r="AJ157" s="219"/>
      <c r="AK157" s="219"/>
      <c r="AL157" s="219"/>
      <c r="AM157" s="219"/>
      <c r="AN157" s="219"/>
      <c r="AO157" s="219"/>
      <c r="BB157" s="215"/>
      <c r="BC157" s="215"/>
      <c r="BD157" s="215"/>
      <c r="BE157" s="214"/>
    </row>
    <row r="158" spans="1:57" s="216" customFormat="1">
      <c r="A158" s="221"/>
      <c r="B158" s="217"/>
      <c r="C158" s="217"/>
      <c r="D158" s="222"/>
      <c r="E158" s="224"/>
      <c r="F158" s="220"/>
      <c r="G158" s="222"/>
      <c r="I158" s="217"/>
      <c r="J158" s="217"/>
      <c r="K158" s="217"/>
      <c r="L158" s="217"/>
      <c r="O158" s="217"/>
      <c r="P158" s="223"/>
      <c r="R158" s="218"/>
      <c r="S158" s="218"/>
      <c r="T158" s="218"/>
      <c r="U158" s="218"/>
      <c r="V158" s="218"/>
      <c r="W158" s="218"/>
      <c r="X158" s="218"/>
      <c r="Y158" s="218"/>
      <c r="Z158" s="218"/>
      <c r="AA158" s="218"/>
      <c r="AB158" s="218"/>
      <c r="AC158" s="218"/>
      <c r="AD158" s="219"/>
      <c r="AE158" s="219"/>
      <c r="AF158" s="219"/>
      <c r="AG158" s="219"/>
      <c r="AH158" s="219"/>
      <c r="AI158" s="219"/>
      <c r="AJ158" s="219"/>
      <c r="AK158" s="219"/>
      <c r="AL158" s="219"/>
      <c r="AM158" s="219"/>
      <c r="AN158" s="219"/>
      <c r="AO158" s="219"/>
      <c r="BB158" s="215"/>
      <c r="BC158" s="215"/>
      <c r="BD158" s="215"/>
      <c r="BE158" s="214"/>
    </row>
    <row r="159" spans="1:57" s="216" customFormat="1">
      <c r="A159" s="221"/>
      <c r="B159" s="217"/>
      <c r="C159" s="217"/>
      <c r="D159" s="222"/>
      <c r="E159" s="224"/>
      <c r="F159" s="220"/>
      <c r="G159" s="222"/>
      <c r="I159" s="217"/>
      <c r="J159" s="217"/>
      <c r="K159" s="217"/>
      <c r="L159" s="217"/>
      <c r="O159" s="217"/>
      <c r="P159" s="223"/>
      <c r="R159" s="218"/>
      <c r="S159" s="218"/>
      <c r="T159" s="218"/>
      <c r="U159" s="218"/>
      <c r="V159" s="218"/>
      <c r="W159" s="218"/>
      <c r="X159" s="218"/>
      <c r="Y159" s="218"/>
      <c r="Z159" s="218"/>
      <c r="AA159" s="218"/>
      <c r="AB159" s="218"/>
      <c r="AC159" s="218"/>
      <c r="AD159" s="219"/>
      <c r="AE159" s="219"/>
      <c r="AF159" s="219"/>
      <c r="AG159" s="219"/>
      <c r="AH159" s="219"/>
      <c r="AI159" s="219"/>
      <c r="AJ159" s="219"/>
      <c r="AK159" s="219"/>
      <c r="AL159" s="219"/>
      <c r="AM159" s="219"/>
      <c r="AN159" s="219"/>
      <c r="AO159" s="219"/>
      <c r="BB159" s="215"/>
      <c r="BC159" s="215"/>
      <c r="BD159" s="215"/>
      <c r="BE159" s="214"/>
    </row>
    <row r="160" spans="1:57" s="216" customFormat="1">
      <c r="A160" s="221"/>
      <c r="B160" s="217"/>
      <c r="C160" s="217"/>
      <c r="D160" s="222"/>
      <c r="E160" s="224"/>
      <c r="F160" s="220"/>
      <c r="G160" s="222"/>
      <c r="I160" s="217"/>
      <c r="J160" s="217"/>
      <c r="K160" s="217"/>
      <c r="L160" s="217"/>
      <c r="O160" s="217"/>
      <c r="P160" s="223"/>
      <c r="R160" s="218"/>
      <c r="S160" s="218"/>
      <c r="T160" s="218"/>
      <c r="U160" s="218"/>
      <c r="V160" s="218"/>
      <c r="W160" s="218"/>
      <c r="X160" s="218"/>
      <c r="Y160" s="218"/>
      <c r="Z160" s="218"/>
      <c r="AA160" s="218"/>
      <c r="AB160" s="218"/>
      <c r="AC160" s="218"/>
      <c r="AD160" s="219"/>
      <c r="AE160" s="219"/>
      <c r="AF160" s="219"/>
      <c r="AG160" s="219"/>
      <c r="AH160" s="219"/>
      <c r="AI160" s="219"/>
      <c r="AJ160" s="219"/>
      <c r="AK160" s="219"/>
      <c r="AL160" s="219"/>
      <c r="AM160" s="219"/>
      <c r="AN160" s="219"/>
      <c r="AO160" s="219"/>
      <c r="BB160" s="215"/>
      <c r="BC160" s="215"/>
      <c r="BD160" s="215"/>
      <c r="BE160" s="214"/>
    </row>
    <row r="161" spans="1:57" s="216" customFormat="1">
      <c r="A161" s="221"/>
      <c r="B161" s="217"/>
      <c r="C161" s="217"/>
      <c r="D161" s="222"/>
      <c r="E161" s="224"/>
      <c r="F161" s="220"/>
      <c r="G161" s="222"/>
      <c r="I161" s="217"/>
      <c r="J161" s="217"/>
      <c r="K161" s="217"/>
      <c r="L161" s="217"/>
      <c r="O161" s="217"/>
      <c r="P161" s="223"/>
      <c r="R161" s="218"/>
      <c r="S161" s="218"/>
      <c r="T161" s="218"/>
      <c r="U161" s="218"/>
      <c r="V161" s="218"/>
      <c r="W161" s="218"/>
      <c r="X161" s="218"/>
      <c r="Y161" s="218"/>
      <c r="Z161" s="218"/>
      <c r="AA161" s="218"/>
      <c r="AB161" s="218"/>
      <c r="AC161" s="218"/>
      <c r="AD161" s="219"/>
      <c r="AE161" s="219"/>
      <c r="AF161" s="219"/>
      <c r="AG161" s="219"/>
      <c r="AH161" s="219"/>
      <c r="AI161" s="219"/>
      <c r="AJ161" s="219"/>
      <c r="AK161" s="219"/>
      <c r="AL161" s="219"/>
      <c r="AM161" s="219"/>
      <c r="AN161" s="219"/>
      <c r="AO161" s="219"/>
      <c r="BB161" s="215"/>
      <c r="BC161" s="215"/>
      <c r="BD161" s="215"/>
      <c r="BE161" s="214"/>
    </row>
    <row r="162" spans="1:57" s="216" customFormat="1">
      <c r="A162" s="221"/>
      <c r="B162" s="217"/>
      <c r="C162" s="217"/>
      <c r="D162" s="222"/>
      <c r="E162" s="224"/>
      <c r="F162" s="220"/>
      <c r="G162" s="222"/>
      <c r="I162" s="217"/>
      <c r="J162" s="217"/>
      <c r="K162" s="217"/>
      <c r="L162" s="217"/>
      <c r="O162" s="217"/>
      <c r="P162" s="223"/>
      <c r="R162" s="218"/>
      <c r="S162" s="218"/>
      <c r="T162" s="218"/>
      <c r="U162" s="218"/>
      <c r="V162" s="218"/>
      <c r="W162" s="218"/>
      <c r="X162" s="218"/>
      <c r="Y162" s="218"/>
      <c r="Z162" s="218"/>
      <c r="AA162" s="218"/>
      <c r="AB162" s="218"/>
      <c r="AC162" s="218"/>
      <c r="AD162" s="219"/>
      <c r="AE162" s="219"/>
      <c r="AF162" s="219"/>
      <c r="AG162" s="219"/>
      <c r="AH162" s="219"/>
      <c r="AI162" s="219"/>
      <c r="AJ162" s="219"/>
      <c r="AK162" s="219"/>
      <c r="AL162" s="219"/>
      <c r="AM162" s="219"/>
      <c r="AN162" s="219"/>
      <c r="AO162" s="219"/>
      <c r="BB162" s="215"/>
      <c r="BC162" s="215"/>
      <c r="BD162" s="215"/>
      <c r="BE162" s="214"/>
    </row>
    <row r="163" spans="1:57" s="216" customFormat="1">
      <c r="A163" s="221"/>
      <c r="B163" s="217"/>
      <c r="C163" s="217"/>
      <c r="D163" s="222"/>
      <c r="E163" s="224"/>
      <c r="F163" s="220"/>
      <c r="G163" s="222"/>
      <c r="I163" s="217"/>
      <c r="J163" s="217"/>
      <c r="K163" s="217"/>
      <c r="L163" s="217"/>
      <c r="O163" s="217"/>
      <c r="P163" s="223"/>
      <c r="R163" s="218"/>
      <c r="S163" s="218"/>
      <c r="T163" s="218"/>
      <c r="U163" s="218"/>
      <c r="V163" s="218"/>
      <c r="W163" s="218"/>
      <c r="X163" s="218"/>
      <c r="Y163" s="218"/>
      <c r="Z163" s="218"/>
      <c r="AA163" s="218"/>
      <c r="AB163" s="218"/>
      <c r="AC163" s="218"/>
      <c r="AD163" s="219"/>
      <c r="AE163" s="219"/>
      <c r="AF163" s="219"/>
      <c r="AG163" s="219"/>
      <c r="AH163" s="219"/>
      <c r="AI163" s="219"/>
      <c r="AJ163" s="219"/>
      <c r="AK163" s="219"/>
      <c r="AL163" s="219"/>
      <c r="AM163" s="219"/>
      <c r="AN163" s="219"/>
      <c r="AO163" s="219"/>
      <c r="BB163" s="215"/>
      <c r="BC163" s="215"/>
      <c r="BD163" s="215"/>
      <c r="BE163" s="214"/>
    </row>
    <row r="164" spans="1:57" s="216" customFormat="1">
      <c r="A164" s="221"/>
      <c r="B164" s="217"/>
      <c r="C164" s="217"/>
      <c r="D164" s="222"/>
      <c r="E164" s="224"/>
      <c r="F164" s="220"/>
      <c r="G164" s="222"/>
      <c r="I164" s="217"/>
      <c r="J164" s="217"/>
      <c r="K164" s="217"/>
      <c r="L164" s="217"/>
      <c r="O164" s="217"/>
      <c r="P164" s="223"/>
      <c r="R164" s="218"/>
      <c r="S164" s="218"/>
      <c r="T164" s="218"/>
      <c r="U164" s="218"/>
      <c r="V164" s="218"/>
      <c r="W164" s="218"/>
      <c r="X164" s="218"/>
      <c r="Y164" s="218"/>
      <c r="Z164" s="218"/>
      <c r="AA164" s="218"/>
      <c r="AB164" s="218"/>
      <c r="AC164" s="218"/>
      <c r="AD164" s="219"/>
      <c r="AE164" s="219"/>
      <c r="AF164" s="219"/>
      <c r="AG164" s="219"/>
      <c r="AH164" s="219"/>
      <c r="AI164" s="219"/>
      <c r="AJ164" s="219"/>
      <c r="AK164" s="219"/>
      <c r="AL164" s="219"/>
      <c r="AM164" s="219"/>
      <c r="AN164" s="219"/>
      <c r="AO164" s="219"/>
      <c r="BB164" s="215"/>
      <c r="BC164" s="215"/>
      <c r="BD164" s="215"/>
      <c r="BE164" s="214"/>
    </row>
    <row r="165" spans="1:57" s="216" customFormat="1">
      <c r="A165" s="221"/>
      <c r="B165" s="217"/>
      <c r="C165" s="217"/>
      <c r="D165" s="222"/>
      <c r="E165" s="224"/>
      <c r="F165" s="220"/>
      <c r="G165" s="222"/>
      <c r="I165" s="217"/>
      <c r="J165" s="217"/>
      <c r="K165" s="217"/>
      <c r="L165" s="217"/>
      <c r="O165" s="217"/>
      <c r="P165" s="223"/>
      <c r="R165" s="218"/>
      <c r="S165" s="218"/>
      <c r="T165" s="218"/>
      <c r="U165" s="218"/>
      <c r="V165" s="218"/>
      <c r="W165" s="218"/>
      <c r="X165" s="218"/>
      <c r="Y165" s="218"/>
      <c r="Z165" s="218"/>
      <c r="AA165" s="218"/>
      <c r="AB165" s="218"/>
      <c r="AC165" s="218"/>
      <c r="AD165" s="219"/>
      <c r="AE165" s="219"/>
      <c r="AF165" s="219"/>
      <c r="AG165" s="219"/>
      <c r="AH165" s="219"/>
      <c r="AI165" s="219"/>
      <c r="AJ165" s="219"/>
      <c r="AK165" s="219"/>
      <c r="AL165" s="219"/>
      <c r="AM165" s="219"/>
      <c r="AN165" s="219"/>
      <c r="AO165" s="219"/>
      <c r="BB165" s="215"/>
      <c r="BC165" s="215"/>
      <c r="BD165" s="215"/>
      <c r="BE165" s="214"/>
    </row>
    <row r="166" spans="1:57" s="216" customFormat="1">
      <c r="A166" s="221"/>
      <c r="B166" s="217"/>
      <c r="C166" s="217"/>
      <c r="D166" s="222"/>
      <c r="E166" s="224"/>
      <c r="F166" s="220"/>
      <c r="G166" s="222"/>
      <c r="I166" s="217"/>
      <c r="J166" s="217"/>
      <c r="K166" s="217"/>
      <c r="L166" s="217"/>
      <c r="O166" s="217"/>
      <c r="P166" s="223"/>
      <c r="R166" s="218"/>
      <c r="S166" s="218"/>
      <c r="T166" s="218"/>
      <c r="U166" s="218"/>
      <c r="V166" s="218"/>
      <c r="W166" s="218"/>
      <c r="X166" s="218"/>
      <c r="Y166" s="218"/>
      <c r="Z166" s="218"/>
      <c r="AA166" s="218"/>
      <c r="AB166" s="218"/>
      <c r="AC166" s="218"/>
      <c r="AD166" s="219"/>
      <c r="AE166" s="219"/>
      <c r="AF166" s="219"/>
      <c r="AG166" s="219"/>
      <c r="AH166" s="219"/>
      <c r="AI166" s="219"/>
      <c r="AJ166" s="219"/>
      <c r="AK166" s="219"/>
      <c r="AL166" s="219"/>
      <c r="AM166" s="219"/>
      <c r="AN166" s="219"/>
      <c r="AO166" s="219"/>
      <c r="BB166" s="215"/>
      <c r="BC166" s="215"/>
      <c r="BD166" s="215"/>
      <c r="BE166" s="214"/>
    </row>
    <row r="167" spans="1:57" s="216" customFormat="1">
      <c r="A167" s="221"/>
      <c r="B167" s="217"/>
      <c r="C167" s="217"/>
      <c r="D167" s="222"/>
      <c r="E167" s="224"/>
      <c r="F167" s="220"/>
      <c r="G167" s="222"/>
      <c r="I167" s="217"/>
      <c r="J167" s="217"/>
      <c r="K167" s="217"/>
      <c r="L167" s="217"/>
      <c r="O167" s="217"/>
      <c r="P167" s="223"/>
      <c r="R167" s="218"/>
      <c r="S167" s="218"/>
      <c r="T167" s="218"/>
      <c r="U167" s="218"/>
      <c r="V167" s="218"/>
      <c r="W167" s="218"/>
      <c r="X167" s="218"/>
      <c r="Y167" s="218"/>
      <c r="Z167" s="218"/>
      <c r="AA167" s="218"/>
      <c r="AB167" s="218"/>
      <c r="AC167" s="218"/>
      <c r="AD167" s="219"/>
      <c r="AE167" s="219"/>
      <c r="AF167" s="219"/>
      <c r="AG167" s="219"/>
      <c r="AH167" s="219"/>
      <c r="AI167" s="219"/>
      <c r="AJ167" s="219"/>
      <c r="AK167" s="219"/>
      <c r="AL167" s="219"/>
      <c r="AM167" s="219"/>
      <c r="AN167" s="219"/>
      <c r="AO167" s="219"/>
      <c r="BB167" s="215"/>
      <c r="BC167" s="215"/>
      <c r="BD167" s="215"/>
      <c r="BE167" s="214"/>
    </row>
    <row r="168" spans="1:57" s="216" customFormat="1">
      <c r="A168" s="221"/>
      <c r="B168" s="217"/>
      <c r="C168" s="217"/>
      <c r="D168" s="222"/>
      <c r="E168" s="224"/>
      <c r="F168" s="220"/>
      <c r="G168" s="222"/>
      <c r="I168" s="217"/>
      <c r="J168" s="217"/>
      <c r="K168" s="217"/>
      <c r="L168" s="217"/>
      <c r="O168" s="217"/>
      <c r="P168" s="223"/>
      <c r="R168" s="218"/>
      <c r="S168" s="218"/>
      <c r="T168" s="218"/>
      <c r="U168" s="218"/>
      <c r="V168" s="218"/>
      <c r="W168" s="218"/>
      <c r="X168" s="218"/>
      <c r="Y168" s="218"/>
      <c r="Z168" s="218"/>
      <c r="AA168" s="218"/>
      <c r="AB168" s="218"/>
      <c r="AC168" s="218"/>
      <c r="AD168" s="219"/>
      <c r="AE168" s="219"/>
      <c r="AF168" s="219"/>
      <c r="AG168" s="219"/>
      <c r="AH168" s="219"/>
      <c r="AI168" s="219"/>
      <c r="AJ168" s="219"/>
      <c r="AK168" s="219"/>
      <c r="AL168" s="219"/>
      <c r="AM168" s="219"/>
      <c r="AN168" s="219"/>
      <c r="AO168" s="219"/>
      <c r="BB168" s="215"/>
      <c r="BC168" s="215"/>
      <c r="BD168" s="215"/>
      <c r="BE168" s="214"/>
    </row>
    <row r="169" spans="1:57" s="216" customFormat="1">
      <c r="A169" s="221"/>
      <c r="B169" s="217"/>
      <c r="C169" s="217"/>
      <c r="D169" s="222"/>
      <c r="E169" s="224"/>
      <c r="F169" s="220"/>
      <c r="G169" s="222"/>
      <c r="I169" s="217"/>
      <c r="J169" s="217"/>
      <c r="K169" s="217"/>
      <c r="L169" s="217"/>
      <c r="O169" s="217"/>
      <c r="P169" s="223"/>
      <c r="R169" s="218"/>
      <c r="S169" s="218"/>
      <c r="T169" s="218"/>
      <c r="U169" s="218"/>
      <c r="V169" s="218"/>
      <c r="W169" s="218"/>
      <c r="X169" s="218"/>
      <c r="Y169" s="218"/>
      <c r="Z169" s="218"/>
      <c r="AA169" s="218"/>
      <c r="AB169" s="218"/>
      <c r="AC169" s="218"/>
      <c r="AD169" s="219"/>
      <c r="AE169" s="219"/>
      <c r="AF169" s="219"/>
      <c r="AG169" s="219"/>
      <c r="AH169" s="219"/>
      <c r="AI169" s="219"/>
      <c r="AJ169" s="219"/>
      <c r="AK169" s="219"/>
      <c r="AL169" s="219"/>
      <c r="AM169" s="219"/>
      <c r="AN169" s="219"/>
      <c r="AO169" s="219"/>
      <c r="BB169" s="215"/>
      <c r="BC169" s="215"/>
      <c r="BD169" s="215"/>
      <c r="BE169" s="214"/>
    </row>
    <row r="170" spans="1:57" s="216" customFormat="1">
      <c r="A170" s="221"/>
      <c r="B170" s="217"/>
      <c r="C170" s="217"/>
      <c r="D170" s="222"/>
      <c r="E170" s="224"/>
      <c r="F170" s="220"/>
      <c r="G170" s="222"/>
      <c r="I170" s="217"/>
      <c r="J170" s="217"/>
      <c r="K170" s="217"/>
      <c r="L170" s="217"/>
      <c r="O170" s="217"/>
      <c r="P170" s="223"/>
      <c r="R170" s="218"/>
      <c r="S170" s="218"/>
      <c r="T170" s="218"/>
      <c r="U170" s="218"/>
      <c r="V170" s="218"/>
      <c r="W170" s="218"/>
      <c r="X170" s="218"/>
      <c r="Y170" s="218"/>
      <c r="Z170" s="218"/>
      <c r="AA170" s="218"/>
      <c r="AB170" s="218"/>
      <c r="AC170" s="218"/>
      <c r="AD170" s="219"/>
      <c r="AE170" s="219"/>
      <c r="AF170" s="219"/>
      <c r="AG170" s="219"/>
      <c r="AH170" s="219"/>
      <c r="AI170" s="219"/>
      <c r="AJ170" s="219"/>
      <c r="AK170" s="219"/>
      <c r="AL170" s="219"/>
      <c r="AM170" s="219"/>
      <c r="AN170" s="219"/>
      <c r="AO170" s="219"/>
      <c r="BB170" s="215"/>
      <c r="BC170" s="215"/>
      <c r="BD170" s="215"/>
      <c r="BE170" s="214"/>
    </row>
    <row r="171" spans="1:57" s="216" customFormat="1">
      <c r="A171" s="221"/>
      <c r="B171" s="217"/>
      <c r="C171" s="217"/>
      <c r="D171" s="222"/>
      <c r="E171" s="224"/>
      <c r="F171" s="220"/>
      <c r="G171" s="222"/>
      <c r="I171" s="217"/>
      <c r="J171" s="217"/>
      <c r="K171" s="217"/>
      <c r="L171" s="217"/>
      <c r="O171" s="217"/>
      <c r="P171" s="223"/>
      <c r="R171" s="218"/>
      <c r="S171" s="218"/>
      <c r="T171" s="218"/>
      <c r="U171" s="218"/>
      <c r="V171" s="218"/>
      <c r="W171" s="218"/>
      <c r="X171" s="218"/>
      <c r="Y171" s="218"/>
      <c r="Z171" s="218"/>
      <c r="AA171" s="218"/>
      <c r="AB171" s="218"/>
      <c r="AC171" s="218"/>
      <c r="AD171" s="219"/>
      <c r="AE171" s="219"/>
      <c r="AF171" s="219"/>
      <c r="AG171" s="219"/>
      <c r="AH171" s="219"/>
      <c r="AI171" s="219"/>
      <c r="AJ171" s="219"/>
      <c r="AK171" s="219"/>
      <c r="AL171" s="219"/>
      <c r="AM171" s="219"/>
      <c r="AN171" s="219"/>
      <c r="AO171" s="219"/>
      <c r="BB171" s="215"/>
      <c r="BC171" s="215"/>
      <c r="BD171" s="215"/>
      <c r="BE171" s="214"/>
    </row>
    <row r="172" spans="1:57" s="216" customFormat="1">
      <c r="A172" s="221"/>
      <c r="B172" s="217"/>
      <c r="C172" s="217"/>
      <c r="D172" s="222"/>
      <c r="E172" s="224"/>
      <c r="F172" s="220"/>
      <c r="G172" s="222"/>
      <c r="I172" s="217"/>
      <c r="J172" s="217"/>
      <c r="K172" s="217"/>
      <c r="L172" s="217"/>
      <c r="O172" s="217"/>
      <c r="P172" s="223"/>
      <c r="R172" s="218"/>
      <c r="S172" s="218"/>
      <c r="T172" s="218"/>
      <c r="U172" s="218"/>
      <c r="V172" s="218"/>
      <c r="W172" s="218"/>
      <c r="X172" s="218"/>
      <c r="Y172" s="218"/>
      <c r="Z172" s="218"/>
      <c r="AA172" s="218"/>
      <c r="AB172" s="218"/>
      <c r="AC172" s="218"/>
      <c r="AD172" s="219"/>
      <c r="AE172" s="219"/>
      <c r="AF172" s="219"/>
      <c r="AG172" s="219"/>
      <c r="AH172" s="219"/>
      <c r="AI172" s="219"/>
      <c r="AJ172" s="219"/>
      <c r="AK172" s="219"/>
      <c r="AL172" s="219"/>
      <c r="AM172" s="219"/>
      <c r="AN172" s="219"/>
      <c r="AO172" s="219"/>
      <c r="BB172" s="215"/>
      <c r="BC172" s="215"/>
      <c r="BD172" s="215"/>
      <c r="BE172" s="214"/>
    </row>
    <row r="173" spans="1:57" s="216" customFormat="1">
      <c r="A173" s="221"/>
      <c r="B173" s="217"/>
      <c r="C173" s="217"/>
      <c r="D173" s="222"/>
      <c r="E173" s="224"/>
      <c r="F173" s="220"/>
      <c r="G173" s="222"/>
      <c r="I173" s="217"/>
      <c r="J173" s="217"/>
      <c r="K173" s="217"/>
      <c r="L173" s="217"/>
      <c r="O173" s="217"/>
      <c r="P173" s="223"/>
      <c r="R173" s="218"/>
      <c r="S173" s="218"/>
      <c r="T173" s="218"/>
      <c r="U173" s="218"/>
      <c r="V173" s="218"/>
      <c r="W173" s="218"/>
      <c r="X173" s="218"/>
      <c r="Y173" s="218"/>
      <c r="Z173" s="218"/>
      <c r="AA173" s="218"/>
      <c r="AB173" s="218"/>
      <c r="AC173" s="218"/>
      <c r="AD173" s="219"/>
      <c r="AE173" s="219"/>
      <c r="AF173" s="219"/>
      <c r="AG173" s="219"/>
      <c r="AH173" s="219"/>
      <c r="AI173" s="219"/>
      <c r="AJ173" s="219"/>
      <c r="AK173" s="219"/>
      <c r="AL173" s="219"/>
      <c r="AM173" s="219"/>
      <c r="AN173" s="219"/>
      <c r="AO173" s="219"/>
      <c r="BB173" s="215"/>
      <c r="BC173" s="215"/>
      <c r="BD173" s="215"/>
      <c r="BE173" s="214"/>
    </row>
    <row r="174" spans="1:57" s="216" customFormat="1">
      <c r="A174" s="221"/>
      <c r="B174" s="217"/>
      <c r="C174" s="217"/>
      <c r="D174" s="222"/>
      <c r="E174" s="224"/>
      <c r="F174" s="220"/>
      <c r="G174" s="222"/>
      <c r="I174" s="217"/>
      <c r="J174" s="217"/>
      <c r="K174" s="217"/>
      <c r="L174" s="217"/>
      <c r="O174" s="217"/>
      <c r="P174" s="223"/>
      <c r="R174" s="218"/>
      <c r="S174" s="218"/>
      <c r="T174" s="218"/>
      <c r="U174" s="218"/>
      <c r="V174" s="218"/>
      <c r="W174" s="218"/>
      <c r="X174" s="218"/>
      <c r="Y174" s="218"/>
      <c r="Z174" s="218"/>
      <c r="AA174" s="218"/>
      <c r="AB174" s="218"/>
      <c r="AC174" s="218"/>
      <c r="AD174" s="219"/>
      <c r="AE174" s="219"/>
      <c r="AF174" s="219"/>
      <c r="AG174" s="219"/>
      <c r="AH174" s="219"/>
      <c r="AI174" s="219"/>
      <c r="AJ174" s="219"/>
      <c r="AK174" s="219"/>
      <c r="AL174" s="219"/>
      <c r="AM174" s="219"/>
      <c r="AN174" s="219"/>
      <c r="AO174" s="219"/>
      <c r="BB174" s="215"/>
      <c r="BC174" s="215"/>
      <c r="BD174" s="215"/>
      <c r="BE174" s="214"/>
    </row>
    <row r="175" spans="1:57" s="216" customFormat="1">
      <c r="A175" s="221"/>
      <c r="B175" s="217"/>
      <c r="C175" s="217"/>
      <c r="D175" s="222"/>
      <c r="E175" s="224"/>
      <c r="F175" s="220"/>
      <c r="G175" s="222"/>
      <c r="I175" s="217"/>
      <c r="J175" s="217"/>
      <c r="K175" s="217"/>
      <c r="L175" s="217"/>
      <c r="O175" s="217"/>
      <c r="P175" s="223"/>
      <c r="R175" s="218"/>
      <c r="S175" s="218"/>
      <c r="T175" s="218"/>
      <c r="U175" s="218"/>
      <c r="V175" s="218"/>
      <c r="W175" s="218"/>
      <c r="X175" s="218"/>
      <c r="Y175" s="218"/>
      <c r="Z175" s="218"/>
      <c r="AA175" s="218"/>
      <c r="AB175" s="218"/>
      <c r="AC175" s="218"/>
      <c r="AD175" s="219"/>
      <c r="AE175" s="219"/>
      <c r="AF175" s="219"/>
      <c r="AG175" s="219"/>
      <c r="AH175" s="219"/>
      <c r="AI175" s="219"/>
      <c r="AJ175" s="219"/>
      <c r="AK175" s="219"/>
      <c r="AL175" s="219"/>
      <c r="AM175" s="219"/>
      <c r="AN175" s="219"/>
      <c r="AO175" s="219"/>
      <c r="BB175" s="215"/>
      <c r="BC175" s="215"/>
      <c r="BD175" s="215"/>
      <c r="BE175" s="214"/>
    </row>
    <row r="176" spans="1:57" s="216" customFormat="1">
      <c r="A176" s="221"/>
      <c r="B176" s="217"/>
      <c r="C176" s="217"/>
      <c r="D176" s="222"/>
      <c r="E176" s="224"/>
      <c r="F176" s="220"/>
      <c r="G176" s="222"/>
      <c r="I176" s="217"/>
      <c r="J176" s="217"/>
      <c r="K176" s="217"/>
      <c r="L176" s="217"/>
      <c r="O176" s="217"/>
      <c r="P176" s="223"/>
      <c r="R176" s="218"/>
      <c r="S176" s="218"/>
      <c r="T176" s="218"/>
      <c r="U176" s="218"/>
      <c r="V176" s="218"/>
      <c r="W176" s="218"/>
      <c r="X176" s="218"/>
      <c r="Y176" s="218"/>
      <c r="Z176" s="218"/>
      <c r="AA176" s="218"/>
      <c r="AB176" s="218"/>
      <c r="AC176" s="218"/>
      <c r="AD176" s="219"/>
      <c r="AE176" s="219"/>
      <c r="AF176" s="219"/>
      <c r="AG176" s="219"/>
      <c r="AH176" s="219"/>
      <c r="AI176" s="219"/>
      <c r="AJ176" s="219"/>
      <c r="AK176" s="219"/>
      <c r="AL176" s="219"/>
      <c r="AM176" s="219"/>
      <c r="AN176" s="219"/>
      <c r="AO176" s="219"/>
      <c r="BB176" s="215"/>
      <c r="BC176" s="215"/>
      <c r="BD176" s="215"/>
      <c r="BE176" s="214"/>
    </row>
    <row r="177" spans="1:57" s="216" customFormat="1">
      <c r="A177" s="221"/>
      <c r="B177" s="217"/>
      <c r="C177" s="217"/>
      <c r="D177" s="222"/>
      <c r="E177" s="224"/>
      <c r="F177" s="220"/>
      <c r="G177" s="222"/>
      <c r="I177" s="217"/>
      <c r="J177" s="217"/>
      <c r="K177" s="217"/>
      <c r="L177" s="217"/>
      <c r="O177" s="217"/>
      <c r="P177" s="223"/>
      <c r="R177" s="218"/>
      <c r="S177" s="218"/>
      <c r="T177" s="218"/>
      <c r="U177" s="218"/>
      <c r="V177" s="218"/>
      <c r="W177" s="218"/>
      <c r="X177" s="218"/>
      <c r="Y177" s="218"/>
      <c r="Z177" s="218"/>
      <c r="AA177" s="218"/>
      <c r="AB177" s="218"/>
      <c r="AC177" s="218"/>
      <c r="AD177" s="219"/>
      <c r="AE177" s="219"/>
      <c r="AF177" s="219"/>
      <c r="AG177" s="219"/>
      <c r="AH177" s="219"/>
      <c r="AI177" s="219"/>
      <c r="AJ177" s="219"/>
      <c r="AK177" s="219"/>
      <c r="AL177" s="219"/>
      <c r="AM177" s="219"/>
      <c r="AN177" s="219"/>
      <c r="AO177" s="219"/>
      <c r="BB177" s="215"/>
      <c r="BC177" s="215"/>
      <c r="BD177" s="215"/>
      <c r="BE177" s="214"/>
    </row>
    <row r="178" spans="1:57" s="216" customFormat="1">
      <c r="A178" s="221"/>
      <c r="B178" s="217"/>
      <c r="C178" s="217"/>
      <c r="D178" s="222"/>
      <c r="E178" s="224"/>
      <c r="F178" s="220"/>
      <c r="G178" s="222"/>
      <c r="I178" s="217"/>
      <c r="J178" s="217"/>
      <c r="K178" s="217"/>
      <c r="L178" s="217"/>
      <c r="O178" s="217"/>
      <c r="P178" s="223"/>
      <c r="R178" s="218"/>
      <c r="S178" s="218"/>
      <c r="T178" s="218"/>
      <c r="U178" s="218"/>
      <c r="V178" s="218"/>
      <c r="W178" s="218"/>
      <c r="X178" s="218"/>
      <c r="Y178" s="218"/>
      <c r="Z178" s="218"/>
      <c r="AA178" s="218"/>
      <c r="AB178" s="218"/>
      <c r="AC178" s="218"/>
      <c r="AD178" s="219"/>
      <c r="AE178" s="219"/>
      <c r="AF178" s="219"/>
      <c r="AG178" s="219"/>
      <c r="AH178" s="219"/>
      <c r="AI178" s="219"/>
      <c r="AJ178" s="219"/>
      <c r="AK178" s="219"/>
      <c r="AL178" s="219"/>
      <c r="AM178" s="219"/>
      <c r="AN178" s="219"/>
      <c r="AO178" s="219"/>
      <c r="BB178" s="215"/>
      <c r="BC178" s="215"/>
      <c r="BD178" s="215"/>
      <c r="BE178" s="214"/>
    </row>
    <row r="179" spans="1:57" s="216" customFormat="1">
      <c r="A179" s="221"/>
      <c r="B179" s="217"/>
      <c r="C179" s="217"/>
      <c r="D179" s="222"/>
      <c r="E179" s="224"/>
      <c r="F179" s="220"/>
      <c r="G179" s="222"/>
      <c r="I179" s="217"/>
      <c r="J179" s="217"/>
      <c r="K179" s="217"/>
      <c r="L179" s="217"/>
      <c r="O179" s="217"/>
      <c r="P179" s="223"/>
      <c r="R179" s="218"/>
      <c r="S179" s="218"/>
      <c r="T179" s="218"/>
      <c r="U179" s="218"/>
      <c r="V179" s="218"/>
      <c r="W179" s="218"/>
      <c r="X179" s="218"/>
      <c r="Y179" s="218"/>
      <c r="Z179" s="218"/>
      <c r="AA179" s="218"/>
      <c r="AB179" s="218"/>
      <c r="AC179" s="218"/>
      <c r="AD179" s="219"/>
      <c r="AE179" s="219"/>
      <c r="AF179" s="219"/>
      <c r="AG179" s="219"/>
      <c r="AH179" s="219"/>
      <c r="AI179" s="219"/>
      <c r="AJ179" s="219"/>
      <c r="AK179" s="219"/>
      <c r="AL179" s="219"/>
      <c r="AM179" s="219"/>
      <c r="AN179" s="219"/>
      <c r="AO179" s="219"/>
      <c r="BB179" s="215"/>
      <c r="BC179" s="215"/>
      <c r="BD179" s="215"/>
      <c r="BE179" s="214"/>
    </row>
    <row r="180" spans="1:57" s="216" customFormat="1">
      <c r="A180" s="221"/>
      <c r="B180" s="217"/>
      <c r="C180" s="217"/>
      <c r="D180" s="222"/>
      <c r="E180" s="224"/>
      <c r="F180" s="220"/>
      <c r="G180" s="222"/>
      <c r="I180" s="217"/>
      <c r="J180" s="217"/>
      <c r="K180" s="217"/>
      <c r="L180" s="217"/>
      <c r="O180" s="217"/>
      <c r="P180" s="223"/>
      <c r="R180" s="218"/>
      <c r="S180" s="218"/>
      <c r="T180" s="218"/>
      <c r="U180" s="218"/>
      <c r="V180" s="218"/>
      <c r="W180" s="218"/>
      <c r="X180" s="218"/>
      <c r="Y180" s="218"/>
      <c r="Z180" s="218"/>
      <c r="AA180" s="218"/>
      <c r="AB180" s="218"/>
      <c r="AC180" s="218"/>
      <c r="AD180" s="219"/>
      <c r="AE180" s="219"/>
      <c r="AF180" s="219"/>
      <c r="AG180" s="219"/>
      <c r="AH180" s="219"/>
      <c r="AI180" s="219"/>
      <c r="AJ180" s="219"/>
      <c r="AK180" s="219"/>
      <c r="AL180" s="219"/>
      <c r="AM180" s="219"/>
      <c r="AN180" s="219"/>
      <c r="AO180" s="219"/>
      <c r="BB180" s="215"/>
      <c r="BC180" s="215"/>
      <c r="BD180" s="215"/>
      <c r="BE180" s="214"/>
    </row>
    <row r="181" spans="1:57" s="216" customFormat="1">
      <c r="A181" s="221"/>
      <c r="B181" s="217"/>
      <c r="C181" s="217"/>
      <c r="D181" s="222"/>
      <c r="E181" s="224"/>
      <c r="F181" s="220"/>
      <c r="G181" s="222"/>
      <c r="I181" s="217"/>
      <c r="J181" s="217"/>
      <c r="K181" s="217"/>
      <c r="L181" s="217"/>
      <c r="O181" s="217"/>
      <c r="P181" s="223"/>
      <c r="R181" s="218"/>
      <c r="S181" s="218"/>
      <c r="T181" s="218"/>
      <c r="U181" s="218"/>
      <c r="V181" s="218"/>
      <c r="W181" s="218"/>
      <c r="X181" s="218"/>
      <c r="Y181" s="218"/>
      <c r="Z181" s="218"/>
      <c r="AA181" s="218"/>
      <c r="AB181" s="218"/>
      <c r="AC181" s="218"/>
      <c r="AD181" s="219"/>
      <c r="AE181" s="219"/>
      <c r="AF181" s="219"/>
      <c r="AG181" s="219"/>
      <c r="AH181" s="219"/>
      <c r="AI181" s="219"/>
      <c r="AJ181" s="219"/>
      <c r="AK181" s="219"/>
      <c r="AL181" s="219"/>
      <c r="AM181" s="219"/>
      <c r="AN181" s="219"/>
      <c r="AO181" s="219"/>
      <c r="BB181" s="215"/>
      <c r="BC181" s="215"/>
      <c r="BD181" s="215"/>
      <c r="BE181" s="214"/>
    </row>
    <row r="182" spans="1:57" s="216" customFormat="1">
      <c r="A182" s="221"/>
      <c r="B182" s="217"/>
      <c r="C182" s="217"/>
      <c r="D182" s="222"/>
      <c r="E182" s="224"/>
      <c r="F182" s="220"/>
      <c r="G182" s="222"/>
      <c r="I182" s="217"/>
      <c r="J182" s="217"/>
      <c r="K182" s="217"/>
      <c r="L182" s="217"/>
      <c r="O182" s="217"/>
      <c r="P182" s="223"/>
      <c r="R182" s="218"/>
      <c r="S182" s="218"/>
      <c r="T182" s="218"/>
      <c r="U182" s="218"/>
      <c r="V182" s="218"/>
      <c r="W182" s="218"/>
      <c r="X182" s="218"/>
      <c r="Y182" s="218"/>
      <c r="Z182" s="218"/>
      <c r="AA182" s="218"/>
      <c r="AB182" s="218"/>
      <c r="AC182" s="218"/>
      <c r="AD182" s="219"/>
      <c r="AE182" s="219"/>
      <c r="AF182" s="219"/>
      <c r="AG182" s="219"/>
      <c r="AH182" s="219"/>
      <c r="AI182" s="219"/>
      <c r="AJ182" s="219"/>
      <c r="AK182" s="219"/>
      <c r="AL182" s="219"/>
      <c r="AM182" s="219"/>
      <c r="AN182" s="219"/>
      <c r="AO182" s="219"/>
      <c r="BB182" s="215"/>
      <c r="BC182" s="215"/>
      <c r="BD182" s="215"/>
      <c r="BE182" s="214"/>
    </row>
    <row r="183" spans="1:57" s="216" customFormat="1">
      <c r="A183" s="221"/>
      <c r="B183" s="217"/>
      <c r="C183" s="217"/>
      <c r="D183" s="222"/>
      <c r="E183" s="224"/>
      <c r="F183" s="220"/>
      <c r="G183" s="222"/>
      <c r="I183" s="217"/>
      <c r="J183" s="217"/>
      <c r="K183" s="217"/>
      <c r="L183" s="217"/>
      <c r="O183" s="217"/>
      <c r="P183" s="223"/>
      <c r="R183" s="218"/>
      <c r="S183" s="218"/>
      <c r="T183" s="218"/>
      <c r="U183" s="218"/>
      <c r="V183" s="218"/>
      <c r="W183" s="218"/>
      <c r="X183" s="218"/>
      <c r="Y183" s="218"/>
      <c r="Z183" s="218"/>
      <c r="AA183" s="218"/>
      <c r="AB183" s="218"/>
      <c r="AC183" s="218"/>
      <c r="AD183" s="219"/>
      <c r="AE183" s="219"/>
      <c r="AF183" s="219"/>
      <c r="AG183" s="219"/>
      <c r="AH183" s="219"/>
      <c r="AI183" s="219"/>
      <c r="AJ183" s="219"/>
      <c r="AK183" s="219"/>
      <c r="AL183" s="219"/>
      <c r="AM183" s="219"/>
      <c r="AN183" s="219"/>
      <c r="AO183" s="219"/>
      <c r="BB183" s="215"/>
      <c r="BC183" s="215"/>
      <c r="BD183" s="215"/>
      <c r="BE183" s="214"/>
    </row>
    <row r="184" spans="1:57" s="216" customFormat="1">
      <c r="A184" s="221"/>
      <c r="B184" s="217"/>
      <c r="C184" s="217"/>
      <c r="D184" s="222"/>
      <c r="E184" s="224"/>
      <c r="F184" s="220"/>
      <c r="G184" s="222"/>
      <c r="I184" s="217"/>
      <c r="J184" s="217"/>
      <c r="K184" s="217"/>
      <c r="L184" s="217"/>
      <c r="O184" s="217"/>
      <c r="P184" s="223"/>
      <c r="R184" s="218"/>
      <c r="S184" s="218"/>
      <c r="T184" s="218"/>
      <c r="U184" s="218"/>
      <c r="V184" s="218"/>
      <c r="W184" s="218"/>
      <c r="X184" s="218"/>
      <c r="Y184" s="218"/>
      <c r="Z184" s="218"/>
      <c r="AA184" s="218"/>
      <c r="AB184" s="218"/>
      <c r="AC184" s="218"/>
      <c r="AD184" s="219"/>
      <c r="AE184" s="219"/>
      <c r="AF184" s="219"/>
      <c r="AG184" s="219"/>
      <c r="AH184" s="219"/>
      <c r="AI184" s="219"/>
      <c r="AJ184" s="219"/>
      <c r="AK184" s="219"/>
      <c r="AL184" s="219"/>
      <c r="AM184" s="219"/>
      <c r="AN184" s="219"/>
      <c r="AO184" s="219"/>
      <c r="BB184" s="215"/>
      <c r="BC184" s="215"/>
      <c r="BD184" s="215"/>
      <c r="BE184" s="214"/>
    </row>
    <row r="185" spans="1:57" s="216" customFormat="1">
      <c r="A185" s="221"/>
      <c r="B185" s="217"/>
      <c r="C185" s="217"/>
      <c r="D185" s="222"/>
      <c r="E185" s="224"/>
      <c r="F185" s="220"/>
      <c r="G185" s="222"/>
      <c r="I185" s="217"/>
      <c r="J185" s="217"/>
      <c r="K185" s="217"/>
      <c r="L185" s="217"/>
      <c r="O185" s="217"/>
      <c r="P185" s="223"/>
      <c r="R185" s="218"/>
      <c r="S185" s="218"/>
      <c r="T185" s="218"/>
      <c r="U185" s="218"/>
      <c r="V185" s="218"/>
      <c r="W185" s="218"/>
      <c r="X185" s="218"/>
      <c r="Y185" s="218"/>
      <c r="Z185" s="218"/>
      <c r="AA185" s="218"/>
      <c r="AB185" s="218"/>
      <c r="AC185" s="218"/>
      <c r="AD185" s="219"/>
      <c r="AE185" s="219"/>
      <c r="AF185" s="219"/>
      <c r="AG185" s="219"/>
      <c r="AH185" s="219"/>
      <c r="AI185" s="219"/>
      <c r="AJ185" s="219"/>
      <c r="AK185" s="219"/>
      <c r="AL185" s="219"/>
      <c r="AM185" s="219"/>
      <c r="AN185" s="219"/>
      <c r="AO185" s="219"/>
      <c r="BB185" s="215"/>
      <c r="BC185" s="215"/>
      <c r="BD185" s="215"/>
      <c r="BE185" s="214"/>
    </row>
    <row r="186" spans="1:57" s="216" customFormat="1">
      <c r="A186" s="221"/>
      <c r="B186" s="217"/>
      <c r="C186" s="217"/>
      <c r="D186" s="222"/>
      <c r="E186" s="224"/>
      <c r="F186" s="220"/>
      <c r="G186" s="222"/>
      <c r="I186" s="217"/>
      <c r="J186" s="217"/>
      <c r="K186" s="217"/>
      <c r="L186" s="217"/>
      <c r="O186" s="217"/>
      <c r="P186" s="223"/>
      <c r="R186" s="218"/>
      <c r="S186" s="218"/>
      <c r="T186" s="218"/>
      <c r="U186" s="218"/>
      <c r="V186" s="218"/>
      <c r="W186" s="218"/>
      <c r="X186" s="218"/>
      <c r="Y186" s="218"/>
      <c r="Z186" s="218"/>
      <c r="AA186" s="218"/>
      <c r="AB186" s="218"/>
      <c r="AC186" s="218"/>
      <c r="AD186" s="219"/>
      <c r="AE186" s="219"/>
      <c r="AF186" s="219"/>
      <c r="AG186" s="219"/>
      <c r="AH186" s="219"/>
      <c r="AI186" s="219"/>
      <c r="AJ186" s="219"/>
      <c r="AK186" s="219"/>
      <c r="AL186" s="219"/>
      <c r="AM186" s="219"/>
      <c r="AN186" s="219"/>
      <c r="AO186" s="219"/>
      <c r="BB186" s="215"/>
      <c r="BC186" s="215"/>
      <c r="BD186" s="215"/>
      <c r="BE186" s="214"/>
    </row>
    <row r="187" spans="1:57" s="216" customFormat="1">
      <c r="A187" s="221"/>
      <c r="B187" s="217"/>
      <c r="C187" s="217"/>
      <c r="D187" s="222"/>
      <c r="E187" s="224"/>
      <c r="F187" s="220"/>
      <c r="G187" s="222"/>
      <c r="I187" s="217"/>
      <c r="J187" s="217"/>
      <c r="K187" s="217"/>
      <c r="L187" s="217"/>
      <c r="O187" s="217"/>
      <c r="P187" s="223"/>
      <c r="R187" s="218"/>
      <c r="S187" s="218"/>
      <c r="T187" s="218"/>
      <c r="U187" s="218"/>
      <c r="V187" s="218"/>
      <c r="W187" s="218"/>
      <c r="X187" s="218"/>
      <c r="Y187" s="218"/>
      <c r="Z187" s="218"/>
      <c r="AA187" s="218"/>
      <c r="AB187" s="218"/>
      <c r="AC187" s="218"/>
      <c r="AD187" s="219"/>
      <c r="AE187" s="219"/>
      <c r="AF187" s="219"/>
      <c r="AG187" s="219"/>
      <c r="AH187" s="219"/>
      <c r="AI187" s="219"/>
      <c r="AJ187" s="219"/>
      <c r="AK187" s="219"/>
      <c r="AL187" s="219"/>
      <c r="AM187" s="219"/>
      <c r="AN187" s="219"/>
      <c r="AO187" s="219"/>
      <c r="BB187" s="215"/>
      <c r="BC187" s="215"/>
      <c r="BD187" s="215"/>
      <c r="BE187" s="214"/>
    </row>
    <row r="188" spans="1:57" s="216" customFormat="1">
      <c r="A188" s="221"/>
      <c r="B188" s="217"/>
      <c r="C188" s="217"/>
      <c r="D188" s="222"/>
      <c r="E188" s="224"/>
      <c r="F188" s="220"/>
      <c r="G188" s="222"/>
      <c r="I188" s="217"/>
      <c r="J188" s="217"/>
      <c r="K188" s="217"/>
      <c r="L188" s="217"/>
      <c r="O188" s="217"/>
      <c r="P188" s="223"/>
      <c r="R188" s="218"/>
      <c r="S188" s="218"/>
      <c r="T188" s="218"/>
      <c r="U188" s="218"/>
      <c r="V188" s="218"/>
      <c r="W188" s="218"/>
      <c r="X188" s="218"/>
      <c r="Y188" s="218"/>
      <c r="Z188" s="218"/>
      <c r="AA188" s="218"/>
      <c r="AB188" s="218"/>
      <c r="AC188" s="218"/>
      <c r="AD188" s="219"/>
      <c r="AE188" s="219"/>
      <c r="AF188" s="219"/>
      <c r="AG188" s="219"/>
      <c r="AH188" s="219"/>
      <c r="AI188" s="219"/>
      <c r="AJ188" s="219"/>
      <c r="AK188" s="219"/>
      <c r="AL188" s="219"/>
      <c r="AM188" s="219"/>
      <c r="AN188" s="219"/>
      <c r="AO188" s="219"/>
      <c r="BB188" s="215"/>
      <c r="BC188" s="215"/>
      <c r="BD188" s="215"/>
      <c r="BE188" s="214"/>
    </row>
    <row r="189" spans="1:57" s="216" customFormat="1">
      <c r="A189" s="221"/>
      <c r="B189" s="217"/>
      <c r="C189" s="217"/>
      <c r="D189" s="222"/>
      <c r="E189" s="224"/>
      <c r="F189" s="220"/>
      <c r="G189" s="222"/>
      <c r="I189" s="217"/>
      <c r="J189" s="217"/>
      <c r="K189" s="217"/>
      <c r="L189" s="217"/>
      <c r="O189" s="217"/>
      <c r="P189" s="223"/>
      <c r="R189" s="218"/>
      <c r="S189" s="218"/>
      <c r="T189" s="218"/>
      <c r="U189" s="218"/>
      <c r="V189" s="218"/>
      <c r="W189" s="218"/>
      <c r="X189" s="218"/>
      <c r="Y189" s="218"/>
      <c r="Z189" s="218"/>
      <c r="AA189" s="218"/>
      <c r="AB189" s="218"/>
      <c r="AC189" s="218"/>
      <c r="AD189" s="219"/>
      <c r="AE189" s="219"/>
      <c r="AF189" s="219"/>
      <c r="AG189" s="219"/>
      <c r="AH189" s="219"/>
      <c r="AI189" s="219"/>
      <c r="AJ189" s="219"/>
      <c r="AK189" s="219"/>
      <c r="AL189" s="219"/>
      <c r="AM189" s="219"/>
      <c r="AN189" s="219"/>
      <c r="AO189" s="219"/>
      <c r="BB189" s="215"/>
      <c r="BC189" s="215"/>
      <c r="BD189" s="215"/>
      <c r="BE189" s="214"/>
    </row>
    <row r="190" spans="1:57" s="216" customFormat="1">
      <c r="A190" s="221"/>
      <c r="B190" s="217"/>
      <c r="C190" s="217"/>
      <c r="D190" s="222"/>
      <c r="E190" s="224"/>
      <c r="F190" s="220"/>
      <c r="G190" s="222"/>
      <c r="I190" s="217"/>
      <c r="J190" s="217"/>
      <c r="K190" s="217"/>
      <c r="L190" s="217"/>
      <c r="O190" s="217"/>
      <c r="P190" s="223"/>
      <c r="R190" s="218"/>
      <c r="S190" s="218"/>
      <c r="T190" s="218"/>
      <c r="U190" s="218"/>
      <c r="V190" s="218"/>
      <c r="W190" s="218"/>
      <c r="X190" s="218"/>
      <c r="Y190" s="218"/>
      <c r="Z190" s="218"/>
      <c r="AA190" s="218"/>
      <c r="AB190" s="218"/>
      <c r="AC190" s="218"/>
      <c r="AD190" s="219"/>
      <c r="AE190" s="219"/>
      <c r="AF190" s="219"/>
      <c r="AG190" s="219"/>
      <c r="AH190" s="219"/>
      <c r="AI190" s="219"/>
      <c r="AJ190" s="219"/>
      <c r="AK190" s="219"/>
      <c r="AL190" s="219"/>
      <c r="AM190" s="219"/>
      <c r="AN190" s="219"/>
      <c r="AO190" s="219"/>
      <c r="BB190" s="215"/>
      <c r="BC190" s="215"/>
      <c r="BD190" s="215"/>
      <c r="BE190" s="214"/>
    </row>
    <row r="191" spans="1:57" s="216" customFormat="1">
      <c r="A191" s="221"/>
      <c r="B191" s="217"/>
      <c r="C191" s="217"/>
      <c r="D191" s="222"/>
      <c r="E191" s="224"/>
      <c r="F191" s="220"/>
      <c r="G191" s="222"/>
      <c r="I191" s="217"/>
      <c r="J191" s="217"/>
      <c r="K191" s="217"/>
      <c r="L191" s="217"/>
      <c r="O191" s="217"/>
      <c r="P191" s="223"/>
      <c r="R191" s="218"/>
      <c r="S191" s="218"/>
      <c r="T191" s="218"/>
      <c r="U191" s="218"/>
      <c r="V191" s="218"/>
      <c r="W191" s="218"/>
      <c r="X191" s="218"/>
      <c r="Y191" s="218"/>
      <c r="Z191" s="218"/>
      <c r="AA191" s="218"/>
      <c r="AB191" s="218"/>
      <c r="AC191" s="218"/>
      <c r="AD191" s="219"/>
      <c r="AE191" s="219"/>
      <c r="AF191" s="219"/>
      <c r="AG191" s="219"/>
      <c r="AH191" s="219"/>
      <c r="AI191" s="219"/>
      <c r="AJ191" s="219"/>
      <c r="AK191" s="219"/>
      <c r="AL191" s="219"/>
      <c r="AM191" s="219"/>
      <c r="AN191" s="219"/>
      <c r="AO191" s="219"/>
      <c r="BB191" s="215"/>
      <c r="BC191" s="215"/>
      <c r="BD191" s="215"/>
      <c r="BE191" s="214"/>
    </row>
    <row r="192" spans="1:57" s="216" customFormat="1">
      <c r="A192" s="221"/>
      <c r="B192" s="217"/>
      <c r="C192" s="217"/>
      <c r="D192" s="222"/>
      <c r="E192" s="224"/>
      <c r="F192" s="220"/>
      <c r="G192" s="222"/>
      <c r="I192" s="217"/>
      <c r="J192" s="217"/>
      <c r="K192" s="217"/>
      <c r="L192" s="217"/>
      <c r="O192" s="217"/>
      <c r="P192" s="223"/>
      <c r="R192" s="218"/>
      <c r="S192" s="218"/>
      <c r="T192" s="218"/>
      <c r="U192" s="218"/>
      <c r="V192" s="218"/>
      <c r="W192" s="218"/>
      <c r="X192" s="218"/>
      <c r="Y192" s="218"/>
      <c r="Z192" s="218"/>
      <c r="AA192" s="218"/>
      <c r="AB192" s="218"/>
      <c r="AC192" s="218"/>
      <c r="AD192" s="219"/>
      <c r="AE192" s="219"/>
      <c r="AF192" s="219"/>
      <c r="AG192" s="219"/>
      <c r="AH192" s="219"/>
      <c r="AI192" s="219"/>
      <c r="AJ192" s="219"/>
      <c r="AK192" s="219"/>
      <c r="AL192" s="219"/>
      <c r="AM192" s="219"/>
      <c r="AN192" s="219"/>
      <c r="AO192" s="219"/>
      <c r="BB192" s="215"/>
      <c r="BC192" s="215"/>
      <c r="BD192" s="215"/>
      <c r="BE192" s="214"/>
    </row>
    <row r="193" spans="1:57" s="216" customFormat="1">
      <c r="A193" s="221"/>
      <c r="B193" s="217"/>
      <c r="C193" s="217"/>
      <c r="D193" s="222"/>
      <c r="E193" s="224"/>
      <c r="F193" s="220"/>
      <c r="G193" s="222"/>
      <c r="I193" s="217"/>
      <c r="J193" s="217"/>
      <c r="K193" s="217"/>
      <c r="L193" s="217"/>
      <c r="O193" s="217"/>
      <c r="P193" s="223"/>
      <c r="R193" s="218"/>
      <c r="S193" s="218"/>
      <c r="T193" s="218"/>
      <c r="U193" s="218"/>
      <c r="V193" s="218"/>
      <c r="W193" s="218"/>
      <c r="X193" s="218"/>
      <c r="Y193" s="218"/>
      <c r="Z193" s="218"/>
      <c r="AA193" s="218"/>
      <c r="AB193" s="218"/>
      <c r="AC193" s="218"/>
      <c r="AD193" s="219"/>
      <c r="AE193" s="219"/>
      <c r="AF193" s="219"/>
      <c r="AG193" s="219"/>
      <c r="AH193" s="219"/>
      <c r="AI193" s="219"/>
      <c r="AJ193" s="219"/>
      <c r="AK193" s="219"/>
      <c r="AL193" s="219"/>
      <c r="AM193" s="219"/>
      <c r="AN193" s="219"/>
      <c r="AO193" s="219"/>
      <c r="BB193" s="215"/>
      <c r="BC193" s="215"/>
      <c r="BD193" s="215"/>
      <c r="BE193" s="214"/>
    </row>
    <row r="194" spans="1:57" s="216" customFormat="1">
      <c r="A194" s="221"/>
      <c r="B194" s="217"/>
      <c r="C194" s="217"/>
      <c r="D194" s="222"/>
      <c r="E194" s="224"/>
      <c r="F194" s="220"/>
      <c r="G194" s="222"/>
      <c r="I194" s="217"/>
      <c r="J194" s="217"/>
      <c r="K194" s="217"/>
      <c r="L194" s="217"/>
      <c r="O194" s="217"/>
      <c r="P194" s="223"/>
      <c r="R194" s="218"/>
      <c r="S194" s="218"/>
      <c r="T194" s="218"/>
      <c r="U194" s="218"/>
      <c r="V194" s="218"/>
      <c r="W194" s="218"/>
      <c r="X194" s="218"/>
      <c r="Y194" s="218"/>
      <c r="Z194" s="218"/>
      <c r="AA194" s="218"/>
      <c r="AB194" s="218"/>
      <c r="AC194" s="218"/>
      <c r="AD194" s="219"/>
      <c r="AE194" s="219"/>
      <c r="AF194" s="219"/>
      <c r="AG194" s="219"/>
      <c r="AH194" s="219"/>
      <c r="AI194" s="219"/>
      <c r="AJ194" s="219"/>
      <c r="AK194" s="219"/>
      <c r="AL194" s="219"/>
      <c r="AM194" s="219"/>
      <c r="AN194" s="219"/>
      <c r="AO194" s="219"/>
      <c r="BB194" s="215"/>
      <c r="BC194" s="215"/>
      <c r="BD194" s="215"/>
      <c r="BE194" s="214"/>
    </row>
    <row r="195" spans="1:57" s="216" customFormat="1">
      <c r="A195" s="221"/>
      <c r="B195" s="217"/>
      <c r="C195" s="217"/>
      <c r="D195" s="222"/>
      <c r="E195" s="224"/>
      <c r="F195" s="220"/>
      <c r="G195" s="222"/>
      <c r="I195" s="217"/>
      <c r="J195" s="217"/>
      <c r="K195" s="217"/>
      <c r="L195" s="217"/>
      <c r="O195" s="217"/>
      <c r="P195" s="223"/>
      <c r="R195" s="218"/>
      <c r="S195" s="218"/>
      <c r="T195" s="218"/>
      <c r="U195" s="218"/>
      <c r="V195" s="218"/>
      <c r="W195" s="218"/>
      <c r="X195" s="218"/>
      <c r="Y195" s="218"/>
      <c r="Z195" s="218"/>
      <c r="AA195" s="218"/>
      <c r="AB195" s="218"/>
      <c r="AC195" s="218"/>
      <c r="AD195" s="219"/>
      <c r="AE195" s="219"/>
      <c r="AF195" s="219"/>
      <c r="AG195" s="219"/>
      <c r="AH195" s="219"/>
      <c r="AI195" s="219"/>
      <c r="AJ195" s="219"/>
      <c r="AK195" s="219"/>
      <c r="AL195" s="219"/>
      <c r="AM195" s="219"/>
      <c r="AN195" s="219"/>
      <c r="AO195" s="219"/>
      <c r="BB195" s="215"/>
      <c r="BC195" s="215"/>
      <c r="BD195" s="215"/>
      <c r="BE195" s="214"/>
    </row>
    <row r="196" spans="1:57" s="216" customFormat="1">
      <c r="A196" s="221"/>
      <c r="B196" s="217"/>
      <c r="C196" s="217"/>
      <c r="D196" s="222"/>
      <c r="E196" s="224"/>
      <c r="F196" s="220"/>
      <c r="G196" s="222"/>
      <c r="I196" s="217"/>
      <c r="J196" s="217"/>
      <c r="K196" s="217"/>
      <c r="L196" s="217"/>
      <c r="O196" s="217"/>
      <c r="P196" s="223"/>
      <c r="R196" s="218"/>
      <c r="S196" s="218"/>
      <c r="T196" s="218"/>
      <c r="U196" s="218"/>
      <c r="V196" s="218"/>
      <c r="W196" s="218"/>
      <c r="X196" s="218"/>
      <c r="Y196" s="218"/>
      <c r="Z196" s="218"/>
      <c r="AA196" s="218"/>
      <c r="AB196" s="218"/>
      <c r="AC196" s="218"/>
      <c r="AD196" s="219"/>
      <c r="AE196" s="219"/>
      <c r="AF196" s="219"/>
      <c r="AG196" s="219"/>
      <c r="AH196" s="219"/>
      <c r="AI196" s="219"/>
      <c r="AJ196" s="219"/>
      <c r="AK196" s="219"/>
      <c r="AL196" s="219"/>
      <c r="AM196" s="219"/>
      <c r="AN196" s="219"/>
      <c r="AO196" s="219"/>
      <c r="BB196" s="215"/>
      <c r="BC196" s="215"/>
      <c r="BD196" s="215"/>
      <c r="BE196" s="214"/>
    </row>
    <row r="197" spans="1:57" s="216" customFormat="1">
      <c r="A197" s="221"/>
      <c r="B197" s="217"/>
      <c r="C197" s="217"/>
      <c r="D197" s="222"/>
      <c r="E197" s="224"/>
      <c r="F197" s="220"/>
      <c r="G197" s="222"/>
      <c r="I197" s="217"/>
      <c r="J197" s="217"/>
      <c r="K197" s="217"/>
      <c r="L197" s="217"/>
      <c r="O197" s="217"/>
      <c r="P197" s="223"/>
      <c r="R197" s="218"/>
      <c r="S197" s="218"/>
      <c r="T197" s="218"/>
      <c r="U197" s="218"/>
      <c r="V197" s="218"/>
      <c r="W197" s="218"/>
      <c r="X197" s="218"/>
      <c r="Y197" s="218"/>
      <c r="Z197" s="218"/>
      <c r="AA197" s="218"/>
      <c r="AB197" s="218"/>
      <c r="AC197" s="218"/>
      <c r="AD197" s="219"/>
      <c r="AE197" s="219"/>
      <c r="AF197" s="219"/>
      <c r="AG197" s="219"/>
      <c r="AH197" s="219"/>
      <c r="AI197" s="219"/>
      <c r="AJ197" s="219"/>
      <c r="AK197" s="219"/>
      <c r="AL197" s="219"/>
      <c r="AM197" s="219"/>
      <c r="AN197" s="219"/>
      <c r="AO197" s="219"/>
      <c r="BB197" s="215"/>
      <c r="BC197" s="215"/>
      <c r="BD197" s="215"/>
      <c r="BE197" s="214"/>
    </row>
    <row r="198" spans="1:57" s="216" customFormat="1">
      <c r="A198" s="221"/>
      <c r="B198" s="217"/>
      <c r="C198" s="217"/>
      <c r="D198" s="222"/>
      <c r="E198" s="224"/>
      <c r="F198" s="220"/>
      <c r="G198" s="222"/>
      <c r="I198" s="217"/>
      <c r="J198" s="217"/>
      <c r="K198" s="217"/>
      <c r="L198" s="217"/>
      <c r="O198" s="217"/>
      <c r="P198" s="223"/>
      <c r="R198" s="218"/>
      <c r="S198" s="218"/>
      <c r="T198" s="218"/>
      <c r="U198" s="218"/>
      <c r="V198" s="218"/>
      <c r="W198" s="218"/>
      <c r="X198" s="218"/>
      <c r="Y198" s="218"/>
      <c r="Z198" s="218"/>
      <c r="AA198" s="218"/>
      <c r="AB198" s="218"/>
      <c r="AC198" s="218"/>
      <c r="AD198" s="219"/>
      <c r="AE198" s="219"/>
      <c r="AF198" s="219"/>
      <c r="AG198" s="219"/>
      <c r="AH198" s="219"/>
      <c r="AI198" s="219"/>
      <c r="AJ198" s="219"/>
      <c r="AK198" s="219"/>
      <c r="AL198" s="219"/>
      <c r="AM198" s="219"/>
      <c r="AN198" s="219"/>
      <c r="AO198" s="219"/>
      <c r="BB198" s="215"/>
      <c r="BC198" s="215"/>
      <c r="BD198" s="215"/>
      <c r="BE198" s="214"/>
    </row>
    <row r="199" spans="1:57" s="216" customFormat="1">
      <c r="A199" s="221"/>
      <c r="B199" s="217"/>
      <c r="C199" s="217"/>
      <c r="D199" s="222"/>
      <c r="E199" s="224"/>
      <c r="F199" s="220"/>
      <c r="G199" s="222"/>
      <c r="I199" s="217"/>
      <c r="J199" s="217"/>
      <c r="K199" s="217"/>
      <c r="L199" s="217"/>
      <c r="O199" s="217"/>
      <c r="P199" s="223"/>
      <c r="R199" s="218"/>
      <c r="S199" s="218"/>
      <c r="T199" s="218"/>
      <c r="U199" s="218"/>
      <c r="V199" s="218"/>
      <c r="W199" s="218"/>
      <c r="X199" s="218"/>
      <c r="Y199" s="218"/>
      <c r="Z199" s="218"/>
      <c r="AA199" s="218"/>
      <c r="AB199" s="218"/>
      <c r="AC199" s="218"/>
      <c r="AD199" s="219"/>
      <c r="AE199" s="219"/>
      <c r="AF199" s="219"/>
      <c r="AG199" s="219"/>
      <c r="AH199" s="219"/>
      <c r="AI199" s="219"/>
      <c r="AJ199" s="219"/>
      <c r="AK199" s="219"/>
      <c r="AL199" s="219"/>
      <c r="AM199" s="219"/>
      <c r="AN199" s="219"/>
      <c r="AO199" s="219"/>
      <c r="BB199" s="215"/>
      <c r="BC199" s="215"/>
      <c r="BD199" s="215"/>
      <c r="BE199" s="214"/>
    </row>
    <row r="200" spans="1:57" s="216" customFormat="1">
      <c r="A200" s="221"/>
      <c r="B200" s="217"/>
      <c r="C200" s="217"/>
      <c r="D200" s="222"/>
      <c r="E200" s="224"/>
      <c r="F200" s="220"/>
      <c r="G200" s="222"/>
      <c r="I200" s="217"/>
      <c r="J200" s="217"/>
      <c r="K200" s="217"/>
      <c r="L200" s="217"/>
      <c r="O200" s="217"/>
      <c r="P200" s="223"/>
      <c r="R200" s="218"/>
      <c r="S200" s="218"/>
      <c r="T200" s="218"/>
      <c r="U200" s="218"/>
      <c r="V200" s="218"/>
      <c r="W200" s="218"/>
      <c r="X200" s="218"/>
      <c r="Y200" s="218"/>
      <c r="Z200" s="218"/>
      <c r="AA200" s="218"/>
      <c r="AB200" s="218"/>
      <c r="AC200" s="218"/>
      <c r="AD200" s="219"/>
      <c r="AE200" s="219"/>
      <c r="AF200" s="219"/>
      <c r="AG200" s="219"/>
      <c r="AH200" s="219"/>
      <c r="AI200" s="219"/>
      <c r="AJ200" s="219"/>
      <c r="AK200" s="219"/>
      <c r="AL200" s="219"/>
      <c r="AM200" s="219"/>
      <c r="AN200" s="219"/>
      <c r="AO200" s="219"/>
      <c r="BB200" s="215"/>
      <c r="BC200" s="215"/>
      <c r="BD200" s="215"/>
      <c r="BE200" s="214"/>
    </row>
    <row r="201" spans="1:57" s="216" customFormat="1">
      <c r="A201" s="221"/>
      <c r="B201" s="217"/>
      <c r="C201" s="217"/>
      <c r="D201" s="222"/>
      <c r="E201" s="224"/>
      <c r="F201" s="220"/>
      <c r="G201" s="222"/>
      <c r="I201" s="217"/>
      <c r="J201" s="217"/>
      <c r="K201" s="217"/>
      <c r="L201" s="217"/>
      <c r="O201" s="217"/>
      <c r="P201" s="223"/>
      <c r="R201" s="218"/>
      <c r="S201" s="218"/>
      <c r="T201" s="218"/>
      <c r="U201" s="218"/>
      <c r="V201" s="218"/>
      <c r="W201" s="218"/>
      <c r="X201" s="218"/>
      <c r="Y201" s="218"/>
      <c r="Z201" s="218"/>
      <c r="AA201" s="218"/>
      <c r="AB201" s="218"/>
      <c r="AC201" s="218"/>
      <c r="AD201" s="219"/>
      <c r="AE201" s="219"/>
      <c r="AF201" s="219"/>
      <c r="AG201" s="219"/>
      <c r="AH201" s="219"/>
      <c r="AI201" s="219"/>
      <c r="AJ201" s="219"/>
      <c r="AK201" s="219"/>
      <c r="AL201" s="219"/>
      <c r="AM201" s="219"/>
      <c r="AN201" s="219"/>
      <c r="AO201" s="219"/>
      <c r="BB201" s="215"/>
      <c r="BC201" s="215"/>
      <c r="BD201" s="215"/>
      <c r="BE201" s="214"/>
    </row>
    <row r="202" spans="1:57" s="216" customFormat="1">
      <c r="A202" s="221"/>
      <c r="B202" s="217"/>
      <c r="C202" s="217"/>
      <c r="D202" s="222"/>
      <c r="E202" s="224"/>
      <c r="F202" s="220"/>
      <c r="G202" s="222"/>
      <c r="I202" s="217"/>
      <c r="J202" s="217"/>
      <c r="K202" s="217"/>
      <c r="L202" s="217"/>
      <c r="O202" s="217"/>
      <c r="P202" s="223"/>
      <c r="R202" s="218"/>
      <c r="S202" s="218"/>
      <c r="T202" s="218"/>
      <c r="U202" s="218"/>
      <c r="V202" s="218"/>
      <c r="W202" s="218"/>
      <c r="X202" s="218"/>
      <c r="Y202" s="218"/>
      <c r="Z202" s="218"/>
      <c r="AA202" s="218"/>
      <c r="AB202" s="218"/>
      <c r="AC202" s="218"/>
      <c r="AD202" s="219"/>
      <c r="AE202" s="219"/>
      <c r="AF202" s="219"/>
      <c r="AG202" s="219"/>
      <c r="AH202" s="219"/>
      <c r="AI202" s="219"/>
      <c r="AJ202" s="219"/>
      <c r="AK202" s="219"/>
      <c r="AL202" s="219"/>
      <c r="AM202" s="219"/>
      <c r="AN202" s="219"/>
      <c r="AO202" s="219"/>
      <c r="BB202" s="215"/>
      <c r="BC202" s="215"/>
      <c r="BD202" s="215"/>
      <c r="BE202" s="214"/>
    </row>
    <row r="203" spans="1:57" s="216" customFormat="1">
      <c r="A203" s="221"/>
      <c r="B203" s="217"/>
      <c r="C203" s="217"/>
      <c r="D203" s="222"/>
      <c r="E203" s="224"/>
      <c r="F203" s="220"/>
      <c r="G203" s="222"/>
      <c r="I203" s="217"/>
      <c r="J203" s="217"/>
      <c r="K203" s="217"/>
      <c r="L203" s="217"/>
      <c r="O203" s="217"/>
      <c r="P203" s="223"/>
      <c r="R203" s="218"/>
      <c r="S203" s="218"/>
      <c r="T203" s="218"/>
      <c r="U203" s="218"/>
      <c r="V203" s="218"/>
      <c r="W203" s="218"/>
      <c r="X203" s="218"/>
      <c r="Y203" s="218"/>
      <c r="Z203" s="218"/>
      <c r="AA203" s="218"/>
      <c r="AB203" s="218"/>
      <c r="AC203" s="218"/>
      <c r="AD203" s="219"/>
      <c r="AE203" s="219"/>
      <c r="AF203" s="219"/>
      <c r="AG203" s="219"/>
      <c r="AH203" s="219"/>
      <c r="AI203" s="219"/>
      <c r="AJ203" s="219"/>
      <c r="AK203" s="219"/>
      <c r="AL203" s="219"/>
      <c r="AM203" s="219"/>
      <c r="AN203" s="219"/>
      <c r="AO203" s="219"/>
      <c r="BB203" s="215"/>
      <c r="BC203" s="215"/>
      <c r="BD203" s="215"/>
      <c r="BE203" s="214"/>
    </row>
    <row r="204" spans="1:57" s="216" customFormat="1">
      <c r="A204" s="221"/>
      <c r="B204" s="217"/>
      <c r="C204" s="217"/>
      <c r="D204" s="222"/>
      <c r="E204" s="224"/>
      <c r="F204" s="220"/>
      <c r="G204" s="222"/>
      <c r="I204" s="217"/>
      <c r="J204" s="217"/>
      <c r="K204" s="217"/>
      <c r="L204" s="217"/>
      <c r="O204" s="217"/>
      <c r="P204" s="223"/>
      <c r="R204" s="218"/>
      <c r="S204" s="218"/>
      <c r="T204" s="218"/>
      <c r="U204" s="218"/>
      <c r="V204" s="218"/>
      <c r="W204" s="218"/>
      <c r="X204" s="218"/>
      <c r="Y204" s="218"/>
      <c r="Z204" s="218"/>
      <c r="AA204" s="218"/>
      <c r="AB204" s="218"/>
      <c r="AC204" s="218"/>
      <c r="AD204" s="219"/>
      <c r="AE204" s="219"/>
      <c r="AF204" s="219"/>
      <c r="AG204" s="219"/>
      <c r="AH204" s="219"/>
      <c r="AI204" s="219"/>
      <c r="AJ204" s="219"/>
      <c r="AK204" s="219"/>
      <c r="AL204" s="219"/>
      <c r="AM204" s="219"/>
      <c r="AN204" s="219"/>
      <c r="AO204" s="219"/>
      <c r="BB204" s="215"/>
      <c r="BC204" s="215"/>
      <c r="BD204" s="215"/>
      <c r="BE204" s="214"/>
    </row>
    <row r="205" spans="1:57" s="216" customFormat="1">
      <c r="A205" s="221"/>
      <c r="B205" s="217"/>
      <c r="C205" s="217"/>
      <c r="D205" s="222"/>
      <c r="E205" s="224"/>
      <c r="F205" s="220"/>
      <c r="G205" s="222"/>
      <c r="I205" s="217"/>
      <c r="J205" s="217"/>
      <c r="K205" s="217"/>
      <c r="L205" s="217"/>
      <c r="O205" s="217"/>
      <c r="P205" s="223"/>
      <c r="R205" s="218"/>
      <c r="S205" s="218"/>
      <c r="T205" s="218"/>
      <c r="U205" s="218"/>
      <c r="V205" s="218"/>
      <c r="W205" s="218"/>
      <c r="X205" s="218"/>
      <c r="Y205" s="218"/>
      <c r="Z205" s="218"/>
      <c r="AA205" s="218"/>
      <c r="AB205" s="218"/>
      <c r="AC205" s="218"/>
      <c r="AD205" s="219"/>
      <c r="AE205" s="219"/>
      <c r="AF205" s="219"/>
      <c r="AG205" s="219"/>
      <c r="AH205" s="219"/>
      <c r="AI205" s="219"/>
      <c r="AJ205" s="219"/>
      <c r="AK205" s="219"/>
      <c r="AL205" s="219"/>
      <c r="AM205" s="219"/>
      <c r="AN205" s="219"/>
      <c r="AO205" s="219"/>
      <c r="BB205" s="215"/>
      <c r="BC205" s="215"/>
      <c r="BD205" s="215"/>
      <c r="BE205" s="214"/>
    </row>
    <row r="206" spans="1:57" s="216" customFormat="1">
      <c r="A206" s="221"/>
      <c r="B206" s="217"/>
      <c r="C206" s="217"/>
      <c r="D206" s="222"/>
      <c r="E206" s="224"/>
      <c r="F206" s="220"/>
      <c r="G206" s="222"/>
      <c r="I206" s="217"/>
      <c r="J206" s="217"/>
      <c r="K206" s="217"/>
      <c r="L206" s="217"/>
      <c r="O206" s="217"/>
      <c r="P206" s="223"/>
      <c r="R206" s="218"/>
      <c r="S206" s="218"/>
      <c r="T206" s="218"/>
      <c r="U206" s="218"/>
      <c r="V206" s="218"/>
      <c r="W206" s="218"/>
      <c r="X206" s="218"/>
      <c r="Y206" s="218"/>
      <c r="Z206" s="218"/>
      <c r="AA206" s="218"/>
      <c r="AB206" s="218"/>
      <c r="AC206" s="218"/>
      <c r="AD206" s="219"/>
      <c r="AE206" s="219"/>
      <c r="AF206" s="219"/>
      <c r="AG206" s="219"/>
      <c r="AH206" s="219"/>
      <c r="AI206" s="219"/>
      <c r="AJ206" s="219"/>
      <c r="AK206" s="219"/>
      <c r="AL206" s="219"/>
      <c r="AM206" s="219"/>
      <c r="AN206" s="219"/>
      <c r="AO206" s="219"/>
      <c r="BB206" s="215"/>
      <c r="BC206" s="215"/>
      <c r="BD206" s="215"/>
      <c r="BE206" s="214"/>
    </row>
    <row r="207" spans="1:57" s="216" customFormat="1">
      <c r="A207" s="221"/>
      <c r="B207" s="217"/>
      <c r="C207" s="217"/>
      <c r="D207" s="222"/>
      <c r="E207" s="224"/>
      <c r="F207" s="220"/>
      <c r="G207" s="222"/>
      <c r="I207" s="217"/>
      <c r="J207" s="217"/>
      <c r="K207" s="217"/>
      <c r="L207" s="217"/>
      <c r="O207" s="217"/>
      <c r="P207" s="223"/>
      <c r="R207" s="218"/>
      <c r="S207" s="218"/>
      <c r="T207" s="218"/>
      <c r="U207" s="218"/>
      <c r="V207" s="218"/>
      <c r="W207" s="218"/>
      <c r="X207" s="218"/>
      <c r="Y207" s="218"/>
      <c r="Z207" s="218"/>
      <c r="AA207" s="218"/>
      <c r="AB207" s="218"/>
      <c r="AC207" s="218"/>
      <c r="AD207" s="219"/>
      <c r="AE207" s="219"/>
      <c r="AF207" s="219"/>
      <c r="AG207" s="219"/>
      <c r="AH207" s="219"/>
      <c r="AI207" s="219"/>
      <c r="AJ207" s="219"/>
      <c r="AK207" s="219"/>
      <c r="AL207" s="219"/>
      <c r="AM207" s="219"/>
      <c r="AN207" s="219"/>
      <c r="AO207" s="219"/>
      <c r="BB207" s="215"/>
      <c r="BC207" s="215"/>
      <c r="BD207" s="215"/>
      <c r="BE207" s="214"/>
    </row>
    <row r="208" spans="1:57" s="216" customFormat="1">
      <c r="A208" s="221"/>
      <c r="B208" s="217"/>
      <c r="C208" s="217"/>
      <c r="D208" s="222"/>
      <c r="E208" s="224"/>
      <c r="F208" s="220"/>
      <c r="G208" s="222"/>
      <c r="I208" s="217"/>
      <c r="J208" s="217"/>
      <c r="K208" s="217"/>
      <c r="L208" s="217"/>
      <c r="O208" s="217"/>
      <c r="P208" s="223"/>
      <c r="R208" s="218"/>
      <c r="S208" s="218"/>
      <c r="T208" s="218"/>
      <c r="U208" s="218"/>
      <c r="V208" s="218"/>
      <c r="W208" s="218"/>
      <c r="X208" s="218"/>
      <c r="Y208" s="218"/>
      <c r="Z208" s="218"/>
      <c r="AA208" s="218"/>
      <c r="AB208" s="218"/>
      <c r="AC208" s="218"/>
      <c r="AD208" s="219"/>
      <c r="AE208" s="219"/>
      <c r="AF208" s="219"/>
      <c r="AG208" s="219"/>
      <c r="AH208" s="219"/>
      <c r="AI208" s="219"/>
      <c r="AJ208" s="219"/>
      <c r="AK208" s="219"/>
      <c r="AL208" s="219"/>
      <c r="AM208" s="219"/>
      <c r="AN208" s="219"/>
      <c r="AO208" s="219"/>
      <c r="BB208" s="215"/>
      <c r="BC208" s="215"/>
      <c r="BD208" s="215"/>
      <c r="BE208" s="214"/>
    </row>
    <row r="209" spans="1:1">
      <c r="A209" s="221"/>
    </row>
    <row r="210" spans="1:1">
      <c r="A210" s="221"/>
    </row>
  </sheetData>
  <mergeCells count="16">
    <mergeCell ref="BB2:BC2"/>
    <mergeCell ref="R1:AC1"/>
    <mergeCell ref="AD1:AO1"/>
    <mergeCell ref="AP1:BA1"/>
    <mergeCell ref="R2:T2"/>
    <mergeCell ref="U2:W2"/>
    <mergeCell ref="X2:Z2"/>
    <mergeCell ref="AA2:AC2"/>
    <mergeCell ref="AD2:AF2"/>
    <mergeCell ref="AG2:AI2"/>
    <mergeCell ref="AJ2:AL2"/>
    <mergeCell ref="AM2:AO2"/>
    <mergeCell ref="AP2:AR2"/>
    <mergeCell ref="AS2:AU2"/>
    <mergeCell ref="AV2:AX2"/>
    <mergeCell ref="AY2:BA2"/>
  </mergeCells>
  <printOptions horizontalCentered="1" gridLines="1"/>
  <pageMargins left="0.23622047244094499" right="0.23622047244094499" top="0.65" bottom="0.52" header="0.23622047244094499" footer="0.23"/>
  <pageSetup scale="54" orientation="landscape" r:id="rId1"/>
  <headerFooter scaleWithDoc="0">
    <oddHeader>&amp;C&amp;"-,Bold"&amp;18 2014 Daily Newspaper Circulation Report</oddHeader>
    <oddFooter>&amp;L&amp;8Source:  Newspapers Canada May 2015&amp;R&amp;8&amp;P</oddFooter>
  </headerFooter>
  <rowBreaks count="2" manualBreakCount="2">
    <brk id="61" max="55" man="1"/>
    <brk id="109" max="5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zoomScaleNormal="100" zoomScaleSheetLayoutView="110" workbookViewId="0">
      <selection activeCell="D39" sqref="D39"/>
    </sheetView>
  </sheetViews>
  <sheetFormatPr defaultColWidth="8.85546875" defaultRowHeight="15"/>
  <cols>
    <col min="1" max="1" width="42.28515625" style="269" customWidth="1"/>
    <col min="2" max="2" width="36.140625" style="269" customWidth="1"/>
    <col min="3" max="3" width="34.7109375" style="269" customWidth="1"/>
    <col min="4" max="4" width="47.7109375" style="269" customWidth="1"/>
    <col min="5" max="16384" width="8.85546875" style="269"/>
  </cols>
  <sheetData>
    <row r="1" spans="1:4" s="268" customFormat="1" ht="15.75">
      <c r="A1" s="265" t="s">
        <v>344</v>
      </c>
      <c r="B1" s="266" t="s">
        <v>345</v>
      </c>
      <c r="C1" s="266" t="s">
        <v>346</v>
      </c>
      <c r="D1" s="267" t="s">
        <v>347</v>
      </c>
    </row>
    <row r="2" spans="1:4">
      <c r="A2" s="269" t="s">
        <v>348</v>
      </c>
      <c r="B2" s="269" t="s">
        <v>349</v>
      </c>
      <c r="C2" s="269" t="s">
        <v>350</v>
      </c>
      <c r="D2" s="269" t="s">
        <v>351</v>
      </c>
    </row>
    <row r="3" spans="1:4">
      <c r="A3" s="269" t="s">
        <v>352</v>
      </c>
      <c r="B3" s="269" t="s">
        <v>353</v>
      </c>
      <c r="C3" s="269" t="s">
        <v>354</v>
      </c>
      <c r="D3" s="269" t="s">
        <v>355</v>
      </c>
    </row>
    <row r="4" spans="1:4">
      <c r="A4" s="269" t="s">
        <v>356</v>
      </c>
      <c r="B4" s="269" t="s">
        <v>270</v>
      </c>
      <c r="C4" s="270" t="s">
        <v>357</v>
      </c>
      <c r="D4" s="269" t="s">
        <v>358</v>
      </c>
    </row>
    <row r="5" spans="1:4">
      <c r="B5" s="269" t="s">
        <v>175</v>
      </c>
      <c r="C5" s="270" t="s">
        <v>186</v>
      </c>
      <c r="D5" s="269" t="s">
        <v>359</v>
      </c>
    </row>
    <row r="6" spans="1:4" ht="15.75">
      <c r="A6" s="266" t="s">
        <v>360</v>
      </c>
      <c r="B6" s="271" t="s">
        <v>361</v>
      </c>
      <c r="C6" s="270" t="s">
        <v>362</v>
      </c>
      <c r="D6" s="269" t="s">
        <v>363</v>
      </c>
    </row>
    <row r="7" spans="1:4">
      <c r="A7" s="269" t="s">
        <v>364</v>
      </c>
      <c r="B7" s="271" t="s">
        <v>365</v>
      </c>
      <c r="C7" s="270" t="s">
        <v>366</v>
      </c>
      <c r="D7" s="269" t="s">
        <v>367</v>
      </c>
    </row>
    <row r="8" spans="1:4">
      <c r="A8" s="269" t="s">
        <v>368</v>
      </c>
      <c r="C8" s="270" t="s">
        <v>369</v>
      </c>
      <c r="D8" s="269" t="s">
        <v>370</v>
      </c>
    </row>
    <row r="9" spans="1:4" ht="15.75">
      <c r="A9" s="269" t="s">
        <v>371</v>
      </c>
      <c r="B9" s="265" t="s">
        <v>372</v>
      </c>
      <c r="C9" s="270" t="s">
        <v>373</v>
      </c>
      <c r="D9" s="269" t="s">
        <v>374</v>
      </c>
    </row>
    <row r="10" spans="1:4">
      <c r="A10" s="269" t="s">
        <v>375</v>
      </c>
      <c r="B10" s="269" t="s">
        <v>376</v>
      </c>
      <c r="C10" s="270" t="s">
        <v>377</v>
      </c>
      <c r="D10" s="269" t="s">
        <v>378</v>
      </c>
    </row>
    <row r="11" spans="1:4">
      <c r="A11" s="272"/>
      <c r="B11" s="269" t="s">
        <v>379</v>
      </c>
      <c r="C11" s="270" t="s">
        <v>380</v>
      </c>
      <c r="D11" s="271" t="s">
        <v>381</v>
      </c>
    </row>
    <row r="12" spans="1:4" ht="15.75">
      <c r="A12" s="266" t="s">
        <v>382</v>
      </c>
      <c r="B12" s="269" t="s">
        <v>383</v>
      </c>
      <c r="C12" s="270" t="s">
        <v>384</v>
      </c>
      <c r="D12" s="271" t="s">
        <v>385</v>
      </c>
    </row>
    <row r="13" spans="1:4">
      <c r="A13" s="269" t="s">
        <v>386</v>
      </c>
      <c r="B13" s="269" t="s">
        <v>387</v>
      </c>
      <c r="C13" s="270" t="s">
        <v>388</v>
      </c>
    </row>
    <row r="14" spans="1:4" ht="15.75">
      <c r="A14" s="269" t="s">
        <v>389</v>
      </c>
      <c r="B14" s="269" t="s">
        <v>390</v>
      </c>
      <c r="C14" s="270" t="s">
        <v>212</v>
      </c>
      <c r="D14" s="266" t="s">
        <v>391</v>
      </c>
    </row>
    <row r="15" spans="1:4">
      <c r="A15" s="269" t="s">
        <v>392</v>
      </c>
      <c r="B15" s="269" t="s">
        <v>393</v>
      </c>
      <c r="C15" s="270" t="s">
        <v>394</v>
      </c>
      <c r="D15" s="269" t="s">
        <v>395</v>
      </c>
    </row>
    <row r="16" spans="1:4">
      <c r="B16" s="269" t="s">
        <v>396</v>
      </c>
      <c r="C16" s="270" t="s">
        <v>61</v>
      </c>
      <c r="D16" s="269" t="s">
        <v>397</v>
      </c>
    </row>
    <row r="17" spans="1:4" ht="15.75">
      <c r="A17" s="266" t="s">
        <v>398</v>
      </c>
      <c r="B17" s="269" t="s">
        <v>399</v>
      </c>
      <c r="C17" s="270" t="s">
        <v>400</v>
      </c>
      <c r="D17" s="269" t="s">
        <v>177</v>
      </c>
    </row>
    <row r="18" spans="1:4">
      <c r="A18" s="269" t="s">
        <v>96</v>
      </c>
      <c r="B18" s="269" t="s">
        <v>401</v>
      </c>
      <c r="C18" s="270" t="s">
        <v>402</v>
      </c>
      <c r="D18" s="269" t="s">
        <v>403</v>
      </c>
    </row>
    <row r="19" spans="1:4">
      <c r="A19" s="269" t="s">
        <v>404</v>
      </c>
      <c r="B19" s="269" t="s">
        <v>405</v>
      </c>
      <c r="C19" s="270" t="s">
        <v>406</v>
      </c>
      <c r="D19" s="271" t="s">
        <v>407</v>
      </c>
    </row>
    <row r="20" spans="1:4">
      <c r="A20" s="269" t="s">
        <v>408</v>
      </c>
      <c r="C20" s="270" t="s">
        <v>409</v>
      </c>
      <c r="D20" s="271" t="s">
        <v>410</v>
      </c>
    </row>
    <row r="21" spans="1:4">
      <c r="B21" s="273" t="s">
        <v>411</v>
      </c>
      <c r="C21" s="270" t="s">
        <v>412</v>
      </c>
      <c r="D21" s="271" t="s">
        <v>413</v>
      </c>
    </row>
    <row r="22" spans="1:4" ht="15.75">
      <c r="A22" s="266" t="s">
        <v>414</v>
      </c>
      <c r="B22" s="273" t="s">
        <v>415</v>
      </c>
      <c r="C22" s="270" t="s">
        <v>184</v>
      </c>
      <c r="D22" s="271" t="s">
        <v>416</v>
      </c>
    </row>
    <row r="23" spans="1:4">
      <c r="A23" s="269" t="s">
        <v>128</v>
      </c>
      <c r="C23" s="270" t="s">
        <v>417</v>
      </c>
      <c r="D23" s="271" t="s">
        <v>418</v>
      </c>
    </row>
    <row r="24" spans="1:4" ht="15.75">
      <c r="A24" s="269" t="s">
        <v>122</v>
      </c>
      <c r="B24" s="266" t="s">
        <v>419</v>
      </c>
      <c r="C24" s="270" t="s">
        <v>420</v>
      </c>
      <c r="D24" s="271" t="s">
        <v>421</v>
      </c>
    </row>
    <row r="25" spans="1:4">
      <c r="B25" s="269" t="s">
        <v>422</v>
      </c>
      <c r="C25" s="270" t="s">
        <v>193</v>
      </c>
    </row>
    <row r="26" spans="1:4" ht="15.75">
      <c r="A26" s="266" t="s">
        <v>423</v>
      </c>
      <c r="B26" s="269" t="s">
        <v>424</v>
      </c>
      <c r="C26" s="270" t="s">
        <v>425</v>
      </c>
      <c r="D26" s="266"/>
    </row>
    <row r="27" spans="1:4">
      <c r="A27" s="269" t="s">
        <v>426</v>
      </c>
      <c r="B27" s="269" t="s">
        <v>427</v>
      </c>
      <c r="C27" s="270" t="s">
        <v>195</v>
      </c>
    </row>
    <row r="28" spans="1:4">
      <c r="A28" s="269" t="s">
        <v>428</v>
      </c>
      <c r="B28" s="269" t="s">
        <v>429</v>
      </c>
      <c r="C28" s="270" t="s">
        <v>430</v>
      </c>
    </row>
    <row r="29" spans="1:4">
      <c r="A29" s="269" t="s">
        <v>431</v>
      </c>
      <c r="B29" s="269" t="s">
        <v>432</v>
      </c>
      <c r="C29" s="270" t="s">
        <v>433</v>
      </c>
    </row>
    <row r="30" spans="1:4">
      <c r="A30" s="269" t="s">
        <v>434</v>
      </c>
      <c r="B30" s="269" t="s">
        <v>435</v>
      </c>
      <c r="C30" s="270" t="s">
        <v>436</v>
      </c>
    </row>
    <row r="31" spans="1:4">
      <c r="A31" s="269" t="s">
        <v>437</v>
      </c>
      <c r="B31" s="269" t="s">
        <v>438</v>
      </c>
      <c r="C31" s="270" t="s">
        <v>215</v>
      </c>
      <c r="D31" s="274" t="s">
        <v>439</v>
      </c>
    </row>
    <row r="32" spans="1:4">
      <c r="C32" s="275" t="s">
        <v>440</v>
      </c>
      <c r="D32" s="276" t="s">
        <v>441</v>
      </c>
    </row>
    <row r="33" spans="1:4" ht="15.75">
      <c r="A33" s="266" t="s">
        <v>442</v>
      </c>
      <c r="C33" s="270" t="s">
        <v>443</v>
      </c>
      <c r="D33" s="276" t="s">
        <v>444</v>
      </c>
    </row>
    <row r="34" spans="1:4">
      <c r="A34" s="269" t="s">
        <v>445</v>
      </c>
      <c r="C34" s="270" t="s">
        <v>446</v>
      </c>
      <c r="D34" s="276" t="s">
        <v>447</v>
      </c>
    </row>
    <row r="35" spans="1:4">
      <c r="C35" s="270" t="s">
        <v>448</v>
      </c>
      <c r="D35" s="276" t="s">
        <v>449</v>
      </c>
    </row>
    <row r="36" spans="1:4" ht="15.75">
      <c r="A36" s="266" t="s">
        <v>450</v>
      </c>
      <c r="C36" s="270" t="s">
        <v>206</v>
      </c>
      <c r="D36" s="276" t="s">
        <v>451</v>
      </c>
    </row>
    <row r="37" spans="1:4">
      <c r="A37" s="269" t="s">
        <v>452</v>
      </c>
      <c r="C37" s="270" t="s">
        <v>453</v>
      </c>
      <c r="D37" s="276" t="s">
        <v>454</v>
      </c>
    </row>
    <row r="38" spans="1:4">
      <c r="C38" s="270" t="s">
        <v>455</v>
      </c>
      <c r="D38" s="276" t="s">
        <v>456</v>
      </c>
    </row>
    <row r="39" spans="1:4">
      <c r="C39" s="271" t="s">
        <v>457</v>
      </c>
      <c r="D39" s="276" t="s">
        <v>458</v>
      </c>
    </row>
    <row r="41" spans="1:4">
      <c r="C41" s="277"/>
    </row>
  </sheetData>
  <printOptions horizontalCentered="1"/>
  <pageMargins left="0.19" right="0.2" top="0.75" bottom="0.43307086614173201" header="0.31496062992126" footer="0.118110236220472"/>
  <pageSetup scale="80" orientation="landscape" horizontalDpi="4294967293" verticalDpi="1200" r:id="rId1"/>
  <headerFooter scaleWithDoc="0">
    <oddHeader>&amp;C&amp;"-,Bold"&amp;18 2014 Ownership Groups - Canadian Daily Newspapers (104 papers)</oddHeader>
    <oddFooter>&amp;L&amp;"-,Italic"&amp;8Source:  Newspapers Canada  (&amp;D)&amp;R&amp;"-,Italic"&amp;8*  non-member of CNA
#  paywall/metered access
black - paid daily newspapers (92)
&amp;K00B050green - free daily newspapers (13)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4"/>
  <sheetViews>
    <sheetView topLeftCell="A4" zoomScale="110" zoomScaleNormal="110" zoomScaleSheetLayoutView="130" workbookViewId="0">
      <selection activeCell="B15" sqref="B15"/>
    </sheetView>
  </sheetViews>
  <sheetFormatPr defaultRowHeight="15"/>
  <cols>
    <col min="1" max="1" width="13.140625" customWidth="1"/>
    <col min="2" max="2" width="19.42578125" style="278" customWidth="1"/>
    <col min="3" max="3" width="32.85546875" customWidth="1"/>
    <col min="4" max="4" width="29.85546875" customWidth="1"/>
    <col min="5" max="5" width="32.5703125" customWidth="1"/>
    <col min="6" max="6" width="12.42578125" customWidth="1"/>
    <col min="7" max="7" width="32" customWidth="1"/>
    <col min="8" max="8" width="13.85546875" customWidth="1"/>
    <col min="9" max="9" width="16.42578125" customWidth="1"/>
    <col min="10" max="10" width="28" customWidth="1"/>
    <col min="11" max="11" width="21" customWidth="1"/>
    <col min="12" max="12" width="22.28515625" customWidth="1"/>
    <col min="13" max="13" width="21.28515625" customWidth="1"/>
    <col min="14" max="14" width="24.7109375" customWidth="1"/>
    <col min="15" max="15" width="24.42578125" customWidth="1"/>
    <col min="16" max="16" width="22.28515625" customWidth="1"/>
    <col min="17" max="17" width="15.5703125" customWidth="1"/>
    <col min="18" max="18" width="13.7109375" customWidth="1"/>
    <col min="19" max="19" width="9.140625" customWidth="1"/>
    <col min="20" max="20" width="10.28515625" customWidth="1"/>
    <col min="21" max="21" width="14.28515625" customWidth="1"/>
    <col min="22" max="22" width="17.28515625" customWidth="1"/>
    <col min="23" max="23" width="9.28515625" customWidth="1"/>
    <col min="24" max="24" width="8" customWidth="1"/>
    <col min="25" max="25" width="21.7109375" customWidth="1"/>
    <col min="26" max="26" width="20.140625" customWidth="1"/>
    <col min="27" max="27" width="13.85546875" customWidth="1"/>
    <col min="28" max="28" width="12.42578125" customWidth="1"/>
    <col min="29" max="29" width="8.42578125" customWidth="1"/>
    <col min="30" max="30" width="17" customWidth="1"/>
    <col min="31" max="31" width="18.5703125" customWidth="1"/>
    <col min="32" max="32" width="13.7109375" customWidth="1"/>
    <col min="33" max="33" width="16.5703125" customWidth="1"/>
    <col min="34" max="34" width="13.28515625" customWidth="1"/>
    <col min="35" max="35" width="13.7109375" customWidth="1"/>
    <col min="36" max="36" width="14.42578125" customWidth="1"/>
    <col min="37" max="37" width="16.5703125" customWidth="1"/>
    <col min="38" max="38" width="15.85546875" customWidth="1"/>
    <col min="39" max="39" width="18.5703125" customWidth="1"/>
    <col min="40" max="40" width="22.28515625" customWidth="1"/>
    <col min="41" max="41" width="13" customWidth="1"/>
    <col min="42" max="42" width="20.140625" customWidth="1"/>
    <col min="43" max="43" width="20.85546875" customWidth="1"/>
    <col min="44" max="44" width="26" customWidth="1"/>
    <col min="45" max="45" width="14.140625" customWidth="1"/>
    <col min="46" max="46" width="16.140625" customWidth="1"/>
    <col min="47" max="47" width="24.28515625" customWidth="1"/>
    <col min="48" max="48" width="22.5703125" customWidth="1"/>
    <col min="49" max="49" width="18.140625" customWidth="1"/>
    <col min="50" max="50" width="25.28515625" customWidth="1"/>
    <col min="51" max="51" width="21.140625" customWidth="1"/>
    <col min="52" max="52" width="22.7109375" customWidth="1"/>
    <col min="53" max="53" width="19.42578125" customWidth="1"/>
    <col min="54" max="54" width="16.7109375" customWidth="1"/>
    <col min="55" max="55" width="24.85546875" customWidth="1"/>
    <col min="56" max="56" width="20" customWidth="1"/>
    <col min="57" max="57" width="20.5703125" customWidth="1"/>
    <col min="58" max="58" width="21.140625" customWidth="1"/>
    <col min="59" max="59" width="28.140625" customWidth="1"/>
    <col min="60" max="60" width="16.85546875" customWidth="1"/>
    <col min="61" max="61" width="21.5703125" customWidth="1"/>
    <col min="62" max="62" width="30" customWidth="1"/>
    <col min="63" max="63" width="25.7109375" customWidth="1"/>
    <col min="64" max="64" width="21.28515625" customWidth="1"/>
    <col min="65" max="65" width="19.7109375" customWidth="1"/>
    <col min="66" max="66" width="14.7109375" customWidth="1"/>
    <col min="67" max="67" width="11.7109375" customWidth="1"/>
    <col min="68" max="68" width="18.5703125" customWidth="1"/>
    <col min="69" max="69" width="12.85546875" customWidth="1"/>
    <col min="70" max="70" width="17.7109375" customWidth="1"/>
    <col min="71" max="71" width="19.140625" customWidth="1"/>
    <col min="72" max="72" width="28.5703125" customWidth="1"/>
    <col min="73" max="73" width="15.42578125" customWidth="1"/>
    <col min="74" max="74" width="22.7109375" customWidth="1"/>
    <col min="75" max="75" width="24.140625" customWidth="1"/>
    <col min="76" max="76" width="22.7109375" customWidth="1"/>
    <col min="77" max="77" width="22.140625" customWidth="1"/>
    <col min="78" max="78" width="16.85546875" customWidth="1"/>
    <col min="79" max="79" width="20" customWidth="1"/>
    <col min="80" max="80" width="28" customWidth="1"/>
    <col min="81" max="81" width="12.42578125" customWidth="1"/>
    <col min="82" max="82" width="23.5703125" customWidth="1"/>
    <col min="83" max="83" width="15.140625" customWidth="1"/>
    <col min="84" max="84" width="21.140625" customWidth="1"/>
    <col min="85" max="85" width="23.85546875" customWidth="1"/>
    <col min="86" max="86" width="13.5703125" customWidth="1"/>
    <col min="87" max="87" width="14.5703125" customWidth="1"/>
    <col min="88" max="88" width="15.5703125" customWidth="1"/>
    <col min="89" max="89" width="18.140625" customWidth="1"/>
    <col min="90" max="90" width="17.42578125" customWidth="1"/>
    <col min="91" max="91" width="13.140625" customWidth="1"/>
    <col min="92" max="92" width="16.7109375" customWidth="1"/>
    <col min="93" max="93" width="17.5703125" customWidth="1"/>
    <col min="94" max="94" width="14.42578125" customWidth="1"/>
    <col min="95" max="95" width="22.85546875" customWidth="1"/>
    <col min="96" max="96" width="18.28515625" customWidth="1"/>
    <col min="97" max="97" width="16.5703125" customWidth="1"/>
    <col min="98" max="98" width="19.42578125" customWidth="1"/>
    <col min="99" max="99" width="16.5703125" customWidth="1"/>
    <col min="100" max="100" width="14.140625" bestFit="1" customWidth="1"/>
    <col min="101" max="101" width="15.85546875" customWidth="1"/>
    <col min="102" max="102" width="12.28515625" customWidth="1"/>
    <col min="103" max="103" width="23.7109375" customWidth="1"/>
    <col min="104" max="104" width="19.5703125" customWidth="1"/>
    <col min="105" max="105" width="15.140625" customWidth="1"/>
    <col min="106" max="106" width="11.42578125" customWidth="1"/>
    <col min="107" max="107" width="11.28515625" bestFit="1" customWidth="1"/>
  </cols>
  <sheetData>
    <row r="2" spans="1:5">
      <c r="A2" s="405" t="s">
        <v>547</v>
      </c>
      <c r="B2" s="278" t="s">
        <v>584</v>
      </c>
      <c r="C2" s="318" t="s">
        <v>548</v>
      </c>
      <c r="D2" s="318" t="s">
        <v>549</v>
      </c>
      <c r="E2" s="318" t="s">
        <v>550</v>
      </c>
    </row>
    <row r="3" spans="1:5">
      <c r="A3" s="316" t="s">
        <v>53</v>
      </c>
      <c r="B3" s="406">
        <v>13</v>
      </c>
      <c r="C3" s="317">
        <v>6358749</v>
      </c>
      <c r="D3" s="317">
        <v>1268464.0857142857</v>
      </c>
      <c r="E3" s="317">
        <v>0</v>
      </c>
    </row>
    <row r="4" spans="1:5">
      <c r="A4" s="316" t="s">
        <v>42</v>
      </c>
      <c r="B4" s="406">
        <v>91</v>
      </c>
      <c r="C4" s="317">
        <v>25406685.25</v>
      </c>
      <c r="D4" s="317">
        <v>4043553.4142857157</v>
      </c>
      <c r="E4" s="317">
        <v>6314074.5</v>
      </c>
    </row>
    <row r="5" spans="1:5">
      <c r="A5" s="316" t="s">
        <v>459</v>
      </c>
      <c r="B5" s="406">
        <v>104</v>
      </c>
      <c r="C5" s="317">
        <v>31765434.25</v>
      </c>
      <c r="D5" s="317">
        <v>5312017.4999999991</v>
      </c>
      <c r="E5" s="317">
        <v>6314074.5</v>
      </c>
    </row>
    <row r="7" spans="1:5">
      <c r="A7" s="405" t="s">
        <v>547</v>
      </c>
      <c r="B7" s="278" t="s">
        <v>584</v>
      </c>
      <c r="C7" t="s">
        <v>548</v>
      </c>
      <c r="D7" t="s">
        <v>549</v>
      </c>
      <c r="E7" t="s">
        <v>550</v>
      </c>
    </row>
    <row r="8" spans="1:5">
      <c r="A8" s="316" t="s">
        <v>40</v>
      </c>
      <c r="B8" s="406">
        <v>67</v>
      </c>
      <c r="C8" s="317">
        <v>18324468</v>
      </c>
      <c r="D8" s="317">
        <v>2993620.7571428576</v>
      </c>
      <c r="E8" s="317">
        <v>4699487</v>
      </c>
    </row>
    <row r="9" spans="1:5">
      <c r="A9" s="316" t="s">
        <v>47</v>
      </c>
      <c r="B9" s="406">
        <v>37</v>
      </c>
      <c r="C9" s="317">
        <v>13440966.25</v>
      </c>
      <c r="D9" s="317">
        <v>2318396.7428571433</v>
      </c>
      <c r="E9" s="317">
        <v>1614587.5</v>
      </c>
    </row>
    <row r="10" spans="1:5">
      <c r="A10" s="316" t="s">
        <v>459</v>
      </c>
      <c r="B10" s="406">
        <v>104</v>
      </c>
      <c r="C10" s="317">
        <v>31765434.25</v>
      </c>
      <c r="D10" s="317">
        <v>5312017.4999999991</v>
      </c>
      <c r="E10" s="317">
        <v>6314074.5</v>
      </c>
    </row>
    <row r="12" spans="1:5">
      <c r="A12" s="405" t="s">
        <v>547</v>
      </c>
      <c r="B12" s="278" t="s">
        <v>584</v>
      </c>
      <c r="C12" t="s">
        <v>548</v>
      </c>
      <c r="D12" t="s">
        <v>549</v>
      </c>
      <c r="E12" t="s">
        <v>550</v>
      </c>
    </row>
    <row r="13" spans="1:5">
      <c r="A13" s="316" t="s">
        <v>37</v>
      </c>
      <c r="B13" s="406">
        <v>11</v>
      </c>
      <c r="C13" s="317">
        <v>2791024.5</v>
      </c>
      <c r="D13" s="317">
        <v>469655.80714285711</v>
      </c>
      <c r="E13" s="317">
        <v>629776.5</v>
      </c>
    </row>
    <row r="14" spans="1:5">
      <c r="A14" s="316" t="s">
        <v>80</v>
      </c>
      <c r="B14" s="406">
        <v>15</v>
      </c>
      <c r="C14" s="317">
        <v>3495411.5</v>
      </c>
      <c r="D14" s="317">
        <v>620371.02619047614</v>
      </c>
      <c r="E14" s="317">
        <v>649078.5</v>
      </c>
    </row>
    <row r="15" spans="1:5">
      <c r="A15" s="316" t="s">
        <v>123</v>
      </c>
      <c r="B15" s="406">
        <v>4</v>
      </c>
      <c r="C15" s="317">
        <v>1295274</v>
      </c>
      <c r="D15" s="317">
        <v>211552.70714285714</v>
      </c>
      <c r="E15" s="317">
        <v>373602</v>
      </c>
    </row>
    <row r="16" spans="1:5">
      <c r="A16" s="316" t="s">
        <v>134</v>
      </c>
      <c r="B16" s="406">
        <v>4</v>
      </c>
      <c r="C16" s="317">
        <v>540294</v>
      </c>
      <c r="D16" s="317">
        <v>90049</v>
      </c>
      <c r="E16" s="317">
        <v>1734</v>
      </c>
    </row>
    <row r="17" spans="1:5">
      <c r="A17" s="316" t="s">
        <v>145</v>
      </c>
      <c r="B17" s="406">
        <v>2</v>
      </c>
      <c r="C17" s="317">
        <v>231678</v>
      </c>
      <c r="D17" s="317">
        <v>38613</v>
      </c>
      <c r="E17" s="317">
        <v>89210</v>
      </c>
    </row>
    <row r="18" spans="1:5">
      <c r="A18" s="316" t="s">
        <v>151</v>
      </c>
      <c r="B18" s="406">
        <v>5</v>
      </c>
      <c r="C18" s="317">
        <v>939696.5</v>
      </c>
      <c r="D18" s="317">
        <v>163937.34999999998</v>
      </c>
      <c r="E18" s="317">
        <v>105277.5</v>
      </c>
    </row>
    <row r="19" spans="1:5">
      <c r="A19" s="316" t="s">
        <v>166</v>
      </c>
      <c r="B19" s="406">
        <v>43</v>
      </c>
      <c r="C19" s="317">
        <v>13640603.25</v>
      </c>
      <c r="D19" s="317">
        <v>2272915.021428572</v>
      </c>
      <c r="E19" s="317">
        <v>2373423</v>
      </c>
    </row>
    <row r="20" spans="1:5">
      <c r="A20" s="316" t="s">
        <v>233</v>
      </c>
      <c r="B20" s="406">
        <v>2</v>
      </c>
      <c r="C20" s="317">
        <v>126127</v>
      </c>
      <c r="D20" s="317">
        <v>21021.166666666668</v>
      </c>
      <c r="E20" s="317">
        <v>1017</v>
      </c>
    </row>
    <row r="21" spans="1:5">
      <c r="A21" s="316" t="s">
        <v>240</v>
      </c>
      <c r="B21" s="406">
        <v>13</v>
      </c>
      <c r="C21" s="317">
        <v>8094236.5</v>
      </c>
      <c r="D21" s="317">
        <v>1321754.5047619047</v>
      </c>
      <c r="E21" s="317">
        <v>1945709</v>
      </c>
    </row>
    <row r="22" spans="1:5">
      <c r="A22" s="316" t="s">
        <v>262</v>
      </c>
      <c r="B22" s="406">
        <v>4</v>
      </c>
      <c r="C22" s="317">
        <v>602096.5</v>
      </c>
      <c r="D22" s="317">
        <v>100349.41666666667</v>
      </c>
      <c r="E22" s="317">
        <v>145247</v>
      </c>
    </row>
    <row r="23" spans="1:5">
      <c r="A23" s="316" t="s">
        <v>271</v>
      </c>
      <c r="B23" s="406">
        <v>1</v>
      </c>
      <c r="C23" s="317">
        <v>8992.5</v>
      </c>
      <c r="D23" s="317">
        <v>1798.5</v>
      </c>
      <c r="E23" s="317">
        <v>0</v>
      </c>
    </row>
    <row r="24" spans="1:5">
      <c r="A24" s="316" t="s">
        <v>459</v>
      </c>
      <c r="B24" s="406">
        <v>104</v>
      </c>
      <c r="C24" s="317">
        <v>31765434.25</v>
      </c>
      <c r="D24" s="317">
        <v>5312017.5</v>
      </c>
      <c r="E24" s="317">
        <v>6314074.5</v>
      </c>
    </row>
  </sheetData>
  <pageMargins left="0.3" right="0.24" top="0.75" bottom="0.75" header="0.3" footer="0.3"/>
  <pageSetup orientation="landscape" horizontalDpi="1200" verticalDpi="1200"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I202"/>
  <sheetViews>
    <sheetView zoomScale="80" zoomScaleNormal="80" workbookViewId="0">
      <pane xSplit="4" ySplit="3" topLeftCell="E106" activePane="bottomRight" state="frozen"/>
      <selection pane="topRight" activeCell="E1" sqref="E1"/>
      <selection pane="bottomLeft" activeCell="A4" sqref="A4"/>
      <selection pane="bottomRight" activeCell="P1" sqref="P1:P1048576"/>
    </sheetView>
  </sheetViews>
  <sheetFormatPr defaultColWidth="8.85546875" defaultRowHeight="15"/>
  <cols>
    <col min="1" max="1" width="30.140625" style="236" customWidth="1"/>
    <col min="2" max="2" width="10.7109375" style="225" hidden="1" customWidth="1"/>
    <col min="3" max="3" width="12.85546875" style="225" hidden="1" customWidth="1"/>
    <col min="4" max="4" width="5" style="313" bestFit="1" customWidth="1"/>
    <col min="5" max="5" width="19.42578125" style="228" customWidth="1"/>
    <col min="6" max="6" width="13.5703125" style="229" hidden="1" customWidth="1"/>
    <col min="7" max="7" width="13.5703125" style="227" hidden="1" customWidth="1"/>
    <col min="8" max="8" width="8.5703125" style="225" hidden="1" customWidth="1"/>
    <col min="9" max="9" width="9.5703125" style="226" hidden="1" customWidth="1"/>
    <col min="10" max="10" width="6" style="225" hidden="1" customWidth="1"/>
    <col min="11" max="11" width="10.7109375" style="225" hidden="1" customWidth="1"/>
    <col min="12" max="12" width="12" style="225" hidden="1" customWidth="1"/>
    <col min="13" max="13" width="6.140625" style="225" customWidth="1"/>
    <col min="14" max="14" width="12" style="225" hidden="1" customWidth="1"/>
    <col min="15" max="15" width="5.5703125" style="230" bestFit="1" customWidth="1"/>
    <col min="16" max="16" width="27.42578125" style="230" hidden="1" customWidth="1"/>
    <col min="17" max="17" width="6.85546875" style="225" customWidth="1"/>
    <col min="18" max="19" width="14.85546875" style="231" hidden="1" customWidth="1"/>
    <col min="20" max="20" width="13.28515625" style="231" hidden="1" customWidth="1"/>
    <col min="21" max="21" width="14.140625" style="231" hidden="1" customWidth="1"/>
    <col min="22" max="22" width="13.28515625" style="231" hidden="1" customWidth="1"/>
    <col min="23" max="23" width="11.85546875" style="231" hidden="1" customWidth="1"/>
    <col min="24" max="24" width="15.42578125" style="231" hidden="1" customWidth="1"/>
    <col min="25" max="25" width="14.42578125" style="231" hidden="1" customWidth="1"/>
    <col min="26" max="26" width="12.7109375" style="231" hidden="1" customWidth="1"/>
    <col min="27" max="27" width="14.140625" style="231" hidden="1" customWidth="1"/>
    <col min="28" max="28" width="9.42578125" style="231" hidden="1" customWidth="1"/>
    <col min="29" max="29" width="8.5703125" style="231" hidden="1" customWidth="1"/>
    <col min="30" max="30" width="14.85546875" style="232" hidden="1" customWidth="1"/>
    <col min="31" max="31" width="14" style="232" hidden="1" customWidth="1"/>
    <col min="32" max="32" width="12.28515625" style="232" hidden="1" customWidth="1"/>
    <col min="33" max="33" width="14.140625" style="232" hidden="1" customWidth="1"/>
    <col min="34" max="34" width="13.28515625" style="232" hidden="1" customWidth="1"/>
    <col min="35" max="35" width="12.7109375" style="232" hidden="1" customWidth="1"/>
    <col min="36" max="37" width="14.85546875" style="232" hidden="1" customWidth="1"/>
    <col min="38" max="38" width="13.28515625" style="232" hidden="1" customWidth="1"/>
    <col min="39" max="39" width="14.140625" style="232" hidden="1" customWidth="1"/>
    <col min="40" max="40" width="9.42578125" style="232" hidden="1" customWidth="1"/>
    <col min="41" max="41" width="9" style="232" hidden="1" customWidth="1"/>
    <col min="42" max="44" width="11.28515625" style="225" bestFit="1" customWidth="1"/>
    <col min="45" max="45" width="12.5703125" style="225" customWidth="1"/>
    <col min="46" max="46" width="10.42578125" style="225" customWidth="1"/>
    <col min="47" max="47" width="12.28515625" style="225" customWidth="1"/>
    <col min="48" max="50" width="11.28515625" style="225" bestFit="1" customWidth="1"/>
    <col min="51" max="51" width="10.140625" style="225" bestFit="1" customWidth="1"/>
    <col min="52" max="53" width="9.5703125" style="225" bestFit="1" customWidth="1"/>
    <col min="54" max="54" width="12.28515625" style="233" bestFit="1" customWidth="1"/>
    <col min="55" max="55" width="12.5703125" style="233" customWidth="1"/>
    <col min="56" max="56" width="12" style="233" bestFit="1" customWidth="1"/>
    <col min="57" max="57" width="4.85546875" style="234" hidden="1" customWidth="1"/>
    <col min="58" max="58" width="73.7109375" style="234" hidden="1" customWidth="1"/>
    <col min="59" max="59" width="11.7109375" style="234" hidden="1" customWidth="1"/>
    <col min="60" max="60" width="55.5703125" style="234" hidden="1" customWidth="1"/>
    <col min="61" max="61" width="8.85546875" style="225" hidden="1" customWidth="1"/>
    <col min="62" max="16384" width="8.85546875" style="225"/>
  </cols>
  <sheetData>
    <row r="1" spans="1:61" s="10" customFormat="1" ht="15.75" customHeight="1" thickBot="1">
      <c r="A1" s="1"/>
      <c r="B1" s="279"/>
      <c r="C1" s="279"/>
      <c r="D1" s="280"/>
      <c r="E1" s="4"/>
      <c r="F1" s="5"/>
      <c r="G1" s="3"/>
      <c r="H1" s="279"/>
      <c r="I1" s="2"/>
      <c r="J1" s="279"/>
      <c r="K1" s="279"/>
      <c r="L1" s="279"/>
      <c r="M1" s="279"/>
      <c r="N1" s="279"/>
      <c r="O1" s="6"/>
      <c r="P1" s="6"/>
      <c r="Q1" s="279"/>
      <c r="R1" s="408" t="s">
        <v>460</v>
      </c>
      <c r="S1" s="408"/>
      <c r="T1" s="408"/>
      <c r="U1" s="408"/>
      <c r="V1" s="408"/>
      <c r="W1" s="408"/>
      <c r="X1" s="408"/>
      <c r="Y1" s="408"/>
      <c r="Z1" s="408"/>
      <c r="AA1" s="408"/>
      <c r="AB1" s="408"/>
      <c r="AC1" s="408"/>
      <c r="AD1" s="409" t="s">
        <v>461</v>
      </c>
      <c r="AE1" s="409"/>
      <c r="AF1" s="409"/>
      <c r="AG1" s="409"/>
      <c r="AH1" s="409"/>
      <c r="AI1" s="409"/>
      <c r="AJ1" s="409"/>
      <c r="AK1" s="409"/>
      <c r="AL1" s="409"/>
      <c r="AM1" s="409"/>
      <c r="AN1" s="409"/>
      <c r="AO1" s="409"/>
      <c r="AP1" s="410" t="s">
        <v>462</v>
      </c>
      <c r="AQ1" s="410"/>
      <c r="AR1" s="410"/>
      <c r="AS1" s="410"/>
      <c r="AT1" s="410"/>
      <c r="AU1" s="410"/>
      <c r="AV1" s="410"/>
      <c r="AW1" s="410"/>
      <c r="AX1" s="410"/>
      <c r="AY1" s="410"/>
      <c r="AZ1" s="410"/>
      <c r="BA1" s="410"/>
      <c r="BB1" s="7"/>
      <c r="BC1" s="7"/>
      <c r="BD1" s="7"/>
      <c r="BE1" s="8"/>
      <c r="BF1" s="8"/>
      <c r="BG1" s="8"/>
      <c r="BH1" s="8"/>
    </row>
    <row r="2" spans="1:61" s="14" customFormat="1" ht="23.25" customHeight="1" thickBot="1">
      <c r="A2" s="11"/>
      <c r="B2" s="281"/>
      <c r="C2" s="281"/>
      <c r="D2" s="281"/>
      <c r="E2" s="12"/>
      <c r="F2" s="13"/>
      <c r="G2" s="315"/>
      <c r="H2" s="281"/>
      <c r="I2" s="315"/>
      <c r="J2" s="281"/>
      <c r="K2" s="281"/>
      <c r="L2" s="281"/>
      <c r="M2" s="281"/>
      <c r="N2" s="281"/>
      <c r="O2" s="12"/>
      <c r="P2" s="12"/>
      <c r="Q2" s="281"/>
      <c r="R2" s="411" t="s">
        <v>463</v>
      </c>
      <c r="S2" s="412"/>
      <c r="T2" s="413"/>
      <c r="U2" s="412" t="s">
        <v>464</v>
      </c>
      <c r="V2" s="412"/>
      <c r="W2" s="412"/>
      <c r="X2" s="412" t="s">
        <v>5</v>
      </c>
      <c r="Y2" s="412"/>
      <c r="Z2" s="413"/>
      <c r="AA2" s="411" t="s">
        <v>6</v>
      </c>
      <c r="AB2" s="412"/>
      <c r="AC2" s="413"/>
      <c r="AD2" s="414" t="s">
        <v>3</v>
      </c>
      <c r="AE2" s="414"/>
      <c r="AF2" s="414"/>
      <c r="AG2" s="414" t="s">
        <v>4</v>
      </c>
      <c r="AH2" s="414"/>
      <c r="AI2" s="414"/>
      <c r="AJ2" s="414" t="s">
        <v>5</v>
      </c>
      <c r="AK2" s="414"/>
      <c r="AL2" s="414"/>
      <c r="AM2" s="414" t="s">
        <v>6</v>
      </c>
      <c r="AN2" s="414"/>
      <c r="AO2" s="414"/>
      <c r="AP2" s="415" t="s">
        <v>3</v>
      </c>
      <c r="AQ2" s="416"/>
      <c r="AR2" s="417"/>
      <c r="AS2" s="418" t="s">
        <v>7</v>
      </c>
      <c r="AT2" s="419"/>
      <c r="AU2" s="420"/>
      <c r="AV2" s="421" t="s">
        <v>8</v>
      </c>
      <c r="AW2" s="422"/>
      <c r="AX2" s="423"/>
      <c r="AY2" s="424" t="s">
        <v>9</v>
      </c>
      <c r="AZ2" s="416"/>
      <c r="BA2" s="417"/>
      <c r="BB2" s="407"/>
      <c r="BC2" s="407"/>
      <c r="BD2" s="315"/>
    </row>
    <row r="3" spans="1:61" s="32" customFormat="1" ht="26.25" thickBot="1">
      <c r="A3" s="16" t="s">
        <v>10</v>
      </c>
      <c r="B3" s="17" t="s">
        <v>11</v>
      </c>
      <c r="C3" s="17" t="s">
        <v>12</v>
      </c>
      <c r="D3" s="18" t="s">
        <v>13</v>
      </c>
      <c r="E3" s="19" t="s">
        <v>14</v>
      </c>
      <c r="F3" s="20" t="s">
        <v>15</v>
      </c>
      <c r="G3" s="17" t="s">
        <v>16</v>
      </c>
      <c r="H3" s="17" t="s">
        <v>17</v>
      </c>
      <c r="I3" s="17" t="s">
        <v>18</v>
      </c>
      <c r="J3" s="17" t="s">
        <v>19</v>
      </c>
      <c r="K3" s="17" t="s">
        <v>20</v>
      </c>
      <c r="L3" s="17" t="s">
        <v>21</v>
      </c>
      <c r="M3" s="17" t="s">
        <v>22</v>
      </c>
      <c r="N3" s="17" t="s">
        <v>23</v>
      </c>
      <c r="O3" s="282" t="s">
        <v>24</v>
      </c>
      <c r="P3" s="17" t="s">
        <v>25</v>
      </c>
      <c r="Q3" s="18" t="s">
        <v>26</v>
      </c>
      <c r="R3" s="21" t="s">
        <v>27</v>
      </c>
      <c r="S3" s="21" t="s">
        <v>28</v>
      </c>
      <c r="T3" s="22" t="s">
        <v>29</v>
      </c>
      <c r="U3" s="23" t="s">
        <v>27</v>
      </c>
      <c r="V3" s="21" t="s">
        <v>28</v>
      </c>
      <c r="W3" s="22" t="s">
        <v>29</v>
      </c>
      <c r="X3" s="21" t="s">
        <v>27</v>
      </c>
      <c r="Y3" s="21" t="s">
        <v>28</v>
      </c>
      <c r="Z3" s="22" t="s">
        <v>29</v>
      </c>
      <c r="AA3" s="23" t="s">
        <v>27</v>
      </c>
      <c r="AB3" s="21" t="s">
        <v>28</v>
      </c>
      <c r="AC3" s="22" t="s">
        <v>29</v>
      </c>
      <c r="AD3" s="24" t="s">
        <v>27</v>
      </c>
      <c r="AE3" s="25" t="s">
        <v>28</v>
      </c>
      <c r="AF3" s="26" t="s">
        <v>29</v>
      </c>
      <c r="AG3" s="24" t="s">
        <v>27</v>
      </c>
      <c r="AH3" s="25" t="s">
        <v>28</v>
      </c>
      <c r="AI3" s="26" t="s">
        <v>29</v>
      </c>
      <c r="AJ3" s="24" t="s">
        <v>27</v>
      </c>
      <c r="AK3" s="25" t="s">
        <v>28</v>
      </c>
      <c r="AL3" s="26" t="s">
        <v>29</v>
      </c>
      <c r="AM3" s="24" t="s">
        <v>27</v>
      </c>
      <c r="AN3" s="25" t="s">
        <v>28</v>
      </c>
      <c r="AO3" s="26" t="s">
        <v>29</v>
      </c>
      <c r="AP3" s="16" t="s">
        <v>27</v>
      </c>
      <c r="AQ3" s="17" t="s">
        <v>28</v>
      </c>
      <c r="AR3" s="19" t="s">
        <v>29</v>
      </c>
      <c r="AS3" s="16" t="s">
        <v>27</v>
      </c>
      <c r="AT3" s="17" t="s">
        <v>28</v>
      </c>
      <c r="AU3" s="19" t="s">
        <v>29</v>
      </c>
      <c r="AV3" s="27" t="s">
        <v>27</v>
      </c>
      <c r="AW3" s="28" t="s">
        <v>28</v>
      </c>
      <c r="AX3" s="29" t="s">
        <v>29</v>
      </c>
      <c r="AY3" s="17" t="s">
        <v>27</v>
      </c>
      <c r="AZ3" s="17" t="s">
        <v>28</v>
      </c>
      <c r="BA3" s="17" t="s">
        <v>29</v>
      </c>
      <c r="BB3" s="16" t="s">
        <v>30</v>
      </c>
      <c r="BC3" s="30" t="s">
        <v>31</v>
      </c>
      <c r="BD3" s="31" t="s">
        <v>32</v>
      </c>
      <c r="BF3" s="319" t="s">
        <v>551</v>
      </c>
      <c r="BG3" s="32" t="s">
        <v>33</v>
      </c>
    </row>
    <row r="4" spans="1:61" s="56" customFormat="1">
      <c r="A4" s="33" t="s">
        <v>34</v>
      </c>
      <c r="B4" s="34" t="s">
        <v>35</v>
      </c>
      <c r="C4" s="34" t="s">
        <v>36</v>
      </c>
      <c r="D4" s="35" t="s">
        <v>37</v>
      </c>
      <c r="E4" s="36" t="s">
        <v>38</v>
      </c>
      <c r="F4" s="37">
        <v>1309200</v>
      </c>
      <c r="G4" s="34" t="s">
        <v>39</v>
      </c>
      <c r="H4" s="34" t="s">
        <v>40</v>
      </c>
      <c r="I4" s="34">
        <v>10</v>
      </c>
      <c r="J4" s="34">
        <v>310</v>
      </c>
      <c r="K4" s="34">
        <f t="shared" ref="K4:K67" si="0">I4*J4</f>
        <v>3100</v>
      </c>
      <c r="L4" s="38" t="s">
        <v>41</v>
      </c>
      <c r="M4" s="38" t="s">
        <v>42</v>
      </c>
      <c r="N4" s="34" t="s">
        <v>43</v>
      </c>
      <c r="O4" s="36" t="s">
        <v>44</v>
      </c>
      <c r="P4" s="39" t="s">
        <v>45</v>
      </c>
      <c r="Q4" s="40" t="s">
        <v>46</v>
      </c>
      <c r="R4" s="41">
        <f>116717-2658</f>
        <v>114059</v>
      </c>
      <c r="S4" s="42">
        <f>112722-2537</f>
        <v>110185</v>
      </c>
      <c r="T4" s="43"/>
      <c r="U4" s="44">
        <f>2658+5815</f>
        <v>8473</v>
      </c>
      <c r="V4" s="44">
        <f>2537+4273</f>
        <v>6810</v>
      </c>
      <c r="W4" s="44"/>
      <c r="X4" s="41">
        <f>R4+U4</f>
        <v>122532</v>
      </c>
      <c r="Y4" s="42">
        <f>S4+V4</f>
        <v>116995</v>
      </c>
      <c r="Z4" s="43"/>
      <c r="AA4" s="42">
        <v>47267</v>
      </c>
      <c r="AB4" s="42">
        <v>44750</v>
      </c>
      <c r="AC4" s="42"/>
      <c r="AD4" s="45">
        <v>65989</v>
      </c>
      <c r="AE4" s="46">
        <v>66853</v>
      </c>
      <c r="AF4" s="47">
        <v>0</v>
      </c>
      <c r="AG4" s="48">
        <v>48930</v>
      </c>
      <c r="AH4" s="48">
        <v>45639</v>
      </c>
      <c r="AI4" s="48">
        <v>0</v>
      </c>
      <c r="AJ4" s="45">
        <f>AD4+AG4</f>
        <v>114919</v>
      </c>
      <c r="AK4" s="46">
        <f>AE4+AH4</f>
        <v>112492</v>
      </c>
      <c r="AL4" s="47">
        <v>0</v>
      </c>
      <c r="AM4" s="45">
        <v>47267</v>
      </c>
      <c r="AN4" s="46">
        <v>44750</v>
      </c>
      <c r="AO4" s="47"/>
      <c r="AP4" s="49">
        <f t="shared" ref="AP4:AZ4" si="1">AVERAGE(R4,AD4)</f>
        <v>90024</v>
      </c>
      <c r="AQ4" s="49">
        <f t="shared" si="1"/>
        <v>88519</v>
      </c>
      <c r="AR4" s="49">
        <f t="shared" si="1"/>
        <v>0</v>
      </c>
      <c r="AS4" s="50">
        <f t="shared" si="1"/>
        <v>28701.5</v>
      </c>
      <c r="AT4" s="51">
        <f t="shared" si="1"/>
        <v>26224.5</v>
      </c>
      <c r="AU4" s="52">
        <f t="shared" si="1"/>
        <v>0</v>
      </c>
      <c r="AV4" s="53">
        <f t="shared" si="1"/>
        <v>118725.5</v>
      </c>
      <c r="AW4" s="53">
        <f t="shared" si="1"/>
        <v>114743.5</v>
      </c>
      <c r="AX4" s="53">
        <f t="shared" si="1"/>
        <v>0</v>
      </c>
      <c r="AY4" s="50">
        <f t="shared" si="1"/>
        <v>47267</v>
      </c>
      <c r="AZ4" s="51">
        <f t="shared" si="1"/>
        <v>44750</v>
      </c>
      <c r="BA4" s="52"/>
      <c r="BB4" s="54">
        <f t="shared" ref="BB4:BB14" si="2">IF($O4="M-Sa",(AV4*5)+AW4+AX4,IF($O4="m-su",(AV4*5)+AW4+AX4,IF($O4="M-F",(AV4*5),IF($O4="T-Su",(AV4*4)+AW4+AX4,IF($O4="T-Sa",(AV4*4)+AW4,IF($O4="T-F",(AV4*4),IF($O4="Su-F",(AV4*5)+AW4+AX4,(AV4*5+AW4+AX4))))))))</f>
        <v>708371</v>
      </c>
      <c r="BC4" s="54">
        <f t="shared" ref="BC4:BC14" si="3">IF($O4="M-Sa",(BB4/6),IF($O4="m-su",(BB4/7),IF($O4="M-F",(BB4/5),IF($O4="T-Su",(BB4/6),IF($O4="T-Sa",(BB4/5),IF($O4="T-F",(BB4/4),IF($O4="Su-F",(BB4/6),(BB4/7))))))))</f>
        <v>118061.83333333333</v>
      </c>
      <c r="BD4" s="55">
        <f t="shared" ref="BD4:BD67" si="4">IF($O4="M-Sa",(AY4*5)+AZ4+BA4,IF($O4="m-su",(AY4*5)+AZ4+BA4,IF($O4="M-F",(AY4*5),IF($O4="T-Su",(AY4*4)+AZ4+BA4,IF($O4="T-Sa",(AY4*4)+AZ4,IF($O4="T-F",(AY4*4),IF($O4="Su-F",(AY4*5)+AZ4+BA4,(AY4*5+AZ4+BA4))))))))</f>
        <v>281085</v>
      </c>
      <c r="BF4" s="330" t="s">
        <v>552</v>
      </c>
    </row>
    <row r="5" spans="1:61" s="56" customFormat="1">
      <c r="A5" s="57" t="s">
        <v>465</v>
      </c>
      <c r="B5" s="34" t="s">
        <v>35</v>
      </c>
      <c r="C5" s="34" t="s">
        <v>36</v>
      </c>
      <c r="D5" s="35" t="s">
        <v>37</v>
      </c>
      <c r="E5" s="58" t="s">
        <v>38</v>
      </c>
      <c r="F5" s="37">
        <v>1309200</v>
      </c>
      <c r="G5" s="34" t="s">
        <v>39</v>
      </c>
      <c r="H5" s="34" t="s">
        <v>47</v>
      </c>
      <c r="I5" s="34">
        <v>10</v>
      </c>
      <c r="J5" s="34">
        <v>160</v>
      </c>
      <c r="K5" s="34">
        <f t="shared" si="0"/>
        <v>1600</v>
      </c>
      <c r="L5" s="38" t="s">
        <v>48</v>
      </c>
      <c r="M5" s="38" t="s">
        <v>42</v>
      </c>
      <c r="N5" s="34" t="s">
        <v>43</v>
      </c>
      <c r="O5" s="58" t="s">
        <v>49</v>
      </c>
      <c r="P5" s="39" t="s">
        <v>50</v>
      </c>
      <c r="Q5" s="59" t="s">
        <v>51</v>
      </c>
      <c r="R5" s="68"/>
      <c r="S5" s="44"/>
      <c r="T5" s="69"/>
      <c r="U5" s="44"/>
      <c r="V5" s="44"/>
      <c r="W5" s="44"/>
      <c r="X5" s="68"/>
      <c r="Y5" s="44"/>
      <c r="Z5" s="69"/>
      <c r="AA5" s="44"/>
      <c r="AB5" s="44"/>
      <c r="AC5" s="44"/>
      <c r="AD5" s="70"/>
      <c r="AE5" s="48"/>
      <c r="AF5" s="71"/>
      <c r="AG5" s="48"/>
      <c r="AH5" s="48"/>
      <c r="AI5" s="48"/>
      <c r="AJ5" s="70">
        <f>AD5+AG5</f>
        <v>0</v>
      </c>
      <c r="AK5" s="48">
        <f>AE5+AH5</f>
        <v>0</v>
      </c>
      <c r="AL5" s="71">
        <f>AF5+AI5</f>
        <v>0</v>
      </c>
      <c r="AM5" s="70"/>
      <c r="AN5" s="48"/>
      <c r="AO5" s="71"/>
      <c r="AP5" s="49">
        <v>27576</v>
      </c>
      <c r="AQ5" s="49">
        <v>31086</v>
      </c>
      <c r="AR5" s="49">
        <v>42711</v>
      </c>
      <c r="AS5" s="60">
        <v>31976</v>
      </c>
      <c r="AT5" s="49">
        <v>30602</v>
      </c>
      <c r="AU5" s="61">
        <v>29722</v>
      </c>
      <c r="AV5" s="53">
        <f>AP5+AS5</f>
        <v>59552</v>
      </c>
      <c r="AW5" s="53">
        <f>AQ5+AT5</f>
        <v>61688</v>
      </c>
      <c r="AX5" s="53">
        <f>AR5+AU5</f>
        <v>72433</v>
      </c>
      <c r="AY5" s="60">
        <f>15224+3054+15896</f>
        <v>34174</v>
      </c>
      <c r="AZ5" s="49">
        <f>3063+15896</f>
        <v>18959</v>
      </c>
      <c r="BA5" s="61">
        <f>1479+3068+15896</f>
        <v>20443</v>
      </c>
      <c r="BB5" s="54">
        <f t="shared" si="2"/>
        <v>431881</v>
      </c>
      <c r="BC5" s="54">
        <f t="shared" si="3"/>
        <v>61697.285714285717</v>
      </c>
      <c r="BD5" s="62">
        <f t="shared" si="4"/>
        <v>210272</v>
      </c>
      <c r="BF5" s="330"/>
      <c r="BI5" s="63"/>
    </row>
    <row r="6" spans="1:61" s="56" customFormat="1">
      <c r="A6" s="57" t="s">
        <v>52</v>
      </c>
      <c r="B6" s="34" t="s">
        <v>35</v>
      </c>
      <c r="C6" s="34" t="s">
        <v>36</v>
      </c>
      <c r="D6" s="35" t="s">
        <v>37</v>
      </c>
      <c r="E6" s="58" t="s">
        <v>38</v>
      </c>
      <c r="F6" s="37">
        <v>1309200</v>
      </c>
      <c r="G6" s="34" t="s">
        <v>39</v>
      </c>
      <c r="H6" s="34" t="s">
        <v>47</v>
      </c>
      <c r="I6" s="34">
        <v>6</v>
      </c>
      <c r="J6" s="34">
        <v>175</v>
      </c>
      <c r="K6" s="34">
        <f t="shared" si="0"/>
        <v>1050</v>
      </c>
      <c r="L6" s="34"/>
      <c r="M6" s="34" t="s">
        <v>53</v>
      </c>
      <c r="N6" s="34" t="s">
        <v>43</v>
      </c>
      <c r="O6" s="58" t="s">
        <v>54</v>
      </c>
      <c r="P6" s="39" t="s">
        <v>55</v>
      </c>
      <c r="Q6" s="59" t="s">
        <v>51</v>
      </c>
      <c r="R6" s="283"/>
      <c r="S6" s="284"/>
      <c r="T6" s="285"/>
      <c r="U6" s="284"/>
      <c r="V6" s="284"/>
      <c r="W6" s="284"/>
      <c r="X6" s="283"/>
      <c r="Y6" s="284"/>
      <c r="Z6" s="285"/>
      <c r="AA6" s="284"/>
      <c r="AB6" s="284"/>
      <c r="AC6" s="284"/>
      <c r="AD6" s="286"/>
      <c r="AE6" s="287"/>
      <c r="AF6" s="288"/>
      <c r="AG6" s="287"/>
      <c r="AH6" s="287"/>
      <c r="AI6" s="287"/>
      <c r="AJ6" s="286"/>
      <c r="AK6" s="287"/>
      <c r="AL6" s="288"/>
      <c r="AM6" s="286"/>
      <c r="AN6" s="287"/>
      <c r="AO6" s="288"/>
      <c r="AP6" s="34"/>
      <c r="AQ6" s="34"/>
      <c r="AR6" s="34"/>
      <c r="AS6" s="60">
        <v>65457</v>
      </c>
      <c r="AT6" s="49"/>
      <c r="AU6" s="61"/>
      <c r="AV6" s="53">
        <f>AP6+AS6</f>
        <v>65457</v>
      </c>
      <c r="AW6" s="53">
        <f>AQ6+AT6</f>
        <v>0</v>
      </c>
      <c r="AX6" s="53"/>
      <c r="AY6" s="35"/>
      <c r="AZ6" s="34"/>
      <c r="BA6" s="64"/>
      <c r="BB6" s="54">
        <f t="shared" si="2"/>
        <v>327285</v>
      </c>
      <c r="BC6" s="54">
        <f t="shared" si="3"/>
        <v>65457</v>
      </c>
      <c r="BD6" s="62">
        <f t="shared" si="4"/>
        <v>0</v>
      </c>
      <c r="BE6" s="387"/>
      <c r="BF6" s="58"/>
      <c r="BG6" s="66">
        <v>2007</v>
      </c>
      <c r="BH6" s="67" t="s">
        <v>56</v>
      </c>
    </row>
    <row r="7" spans="1:61" s="56" customFormat="1">
      <c r="A7" s="57" t="s">
        <v>58</v>
      </c>
      <c r="B7" s="34" t="s">
        <v>35</v>
      </c>
      <c r="C7" s="34" t="s">
        <v>36</v>
      </c>
      <c r="D7" s="35" t="s">
        <v>37</v>
      </c>
      <c r="E7" s="58" t="s">
        <v>57</v>
      </c>
      <c r="F7" s="37">
        <v>1230100</v>
      </c>
      <c r="G7" s="34" t="s">
        <v>39</v>
      </c>
      <c r="H7" s="34" t="s">
        <v>40</v>
      </c>
      <c r="I7" s="34">
        <v>10</v>
      </c>
      <c r="J7" s="34">
        <v>310</v>
      </c>
      <c r="K7" s="34">
        <f t="shared" si="0"/>
        <v>3100</v>
      </c>
      <c r="L7" s="38" t="s">
        <v>41</v>
      </c>
      <c r="M7" s="38" t="s">
        <v>42</v>
      </c>
      <c r="N7" s="34" t="s">
        <v>43</v>
      </c>
      <c r="O7" s="58" t="s">
        <v>44</v>
      </c>
      <c r="P7" s="39" t="s">
        <v>45</v>
      </c>
      <c r="Q7" s="59" t="s">
        <v>46</v>
      </c>
      <c r="R7" s="68">
        <f>91931-4849</f>
        <v>87082</v>
      </c>
      <c r="S7" s="44">
        <f>97806-3991</f>
        <v>93815</v>
      </c>
      <c r="T7" s="69"/>
      <c r="U7" s="44">
        <f>4849+4517</f>
        <v>9366</v>
      </c>
      <c r="V7" s="44">
        <f>3991+4685</f>
        <v>8676</v>
      </c>
      <c r="W7" s="44"/>
      <c r="X7" s="68">
        <f>R7+U7</f>
        <v>96448</v>
      </c>
      <c r="Y7" s="44">
        <f>S7+V7</f>
        <v>102491</v>
      </c>
      <c r="Z7" s="69"/>
      <c r="AA7" s="44"/>
      <c r="AB7" s="44"/>
      <c r="AC7" s="44"/>
      <c r="AD7" s="70">
        <v>65174</v>
      </c>
      <c r="AE7" s="48">
        <v>72079</v>
      </c>
      <c r="AF7" s="71">
        <v>0</v>
      </c>
      <c r="AG7" s="48">
        <v>31026</v>
      </c>
      <c r="AH7" s="48">
        <v>28845</v>
      </c>
      <c r="AI7" s="48">
        <v>0</v>
      </c>
      <c r="AJ7" s="70">
        <f t="shared" ref="AJ7:AL8" si="5">AD7+AG7</f>
        <v>96200</v>
      </c>
      <c r="AK7" s="48">
        <f t="shared" si="5"/>
        <v>100924</v>
      </c>
      <c r="AL7" s="71">
        <f t="shared" si="5"/>
        <v>0</v>
      </c>
      <c r="AM7" s="70">
        <v>28515</v>
      </c>
      <c r="AN7" s="48">
        <v>27298</v>
      </c>
      <c r="AO7" s="71"/>
      <c r="AP7" s="49">
        <f t="shared" ref="AP7:AZ7" si="6">AVERAGE(R7,AD7)</f>
        <v>76128</v>
      </c>
      <c r="AQ7" s="49">
        <f t="shared" si="6"/>
        <v>82947</v>
      </c>
      <c r="AR7" s="49">
        <f t="shared" si="6"/>
        <v>0</v>
      </c>
      <c r="AS7" s="60">
        <f t="shared" si="6"/>
        <v>20196</v>
      </c>
      <c r="AT7" s="49">
        <f t="shared" si="6"/>
        <v>18760.5</v>
      </c>
      <c r="AU7" s="61">
        <f t="shared" si="6"/>
        <v>0</v>
      </c>
      <c r="AV7" s="53">
        <f t="shared" si="6"/>
        <v>96324</v>
      </c>
      <c r="AW7" s="53">
        <f t="shared" si="6"/>
        <v>101707.5</v>
      </c>
      <c r="AX7" s="53">
        <f t="shared" si="6"/>
        <v>0</v>
      </c>
      <c r="AY7" s="60">
        <f t="shared" si="6"/>
        <v>28515</v>
      </c>
      <c r="AZ7" s="49">
        <f t="shared" si="6"/>
        <v>27298</v>
      </c>
      <c r="BA7" s="61"/>
      <c r="BB7" s="54">
        <f t="shared" si="2"/>
        <v>583327.5</v>
      </c>
      <c r="BC7" s="54">
        <f t="shared" si="3"/>
        <v>97221.25</v>
      </c>
      <c r="BD7" s="62">
        <f t="shared" si="4"/>
        <v>169873</v>
      </c>
      <c r="BF7" s="330" t="s">
        <v>553</v>
      </c>
    </row>
    <row r="8" spans="1:61" s="56" customFormat="1">
      <c r="A8" s="57" t="s">
        <v>466</v>
      </c>
      <c r="B8" s="34" t="s">
        <v>35</v>
      </c>
      <c r="C8" s="34" t="s">
        <v>36</v>
      </c>
      <c r="D8" s="35" t="s">
        <v>37</v>
      </c>
      <c r="E8" s="58" t="s">
        <v>57</v>
      </c>
      <c r="F8" s="37">
        <v>1230100</v>
      </c>
      <c r="G8" s="34" t="s">
        <v>39</v>
      </c>
      <c r="H8" s="34" t="s">
        <v>47</v>
      </c>
      <c r="I8" s="34">
        <v>10</v>
      </c>
      <c r="J8" s="34">
        <v>160</v>
      </c>
      <c r="K8" s="34">
        <f t="shared" si="0"/>
        <v>1600</v>
      </c>
      <c r="L8" s="38" t="s">
        <v>48</v>
      </c>
      <c r="M8" s="38" t="s">
        <v>42</v>
      </c>
      <c r="N8" s="34" t="s">
        <v>43</v>
      </c>
      <c r="O8" s="58" t="s">
        <v>49</v>
      </c>
      <c r="P8" s="39" t="s">
        <v>50</v>
      </c>
      <c r="Q8" s="59" t="s">
        <v>51</v>
      </c>
      <c r="R8" s="68"/>
      <c r="S8" s="44"/>
      <c r="T8" s="69"/>
      <c r="U8" s="44"/>
      <c r="V8" s="44"/>
      <c r="W8" s="44"/>
      <c r="X8" s="68"/>
      <c r="Y8" s="44"/>
      <c r="Z8" s="69"/>
      <c r="AA8" s="44"/>
      <c r="AB8" s="44"/>
      <c r="AC8" s="44"/>
      <c r="AD8" s="70"/>
      <c r="AE8" s="48"/>
      <c r="AF8" s="71"/>
      <c r="AG8" s="48"/>
      <c r="AH8" s="48"/>
      <c r="AI8" s="48"/>
      <c r="AJ8" s="70">
        <f t="shared" si="5"/>
        <v>0</v>
      </c>
      <c r="AK8" s="48">
        <f t="shared" si="5"/>
        <v>0</v>
      </c>
      <c r="AL8" s="71">
        <f t="shared" si="5"/>
        <v>0</v>
      </c>
      <c r="AM8" s="70"/>
      <c r="AN8" s="48"/>
      <c r="AO8" s="71"/>
      <c r="AP8" s="49">
        <v>32809</v>
      </c>
      <c r="AQ8" s="49">
        <v>34103</v>
      </c>
      <c r="AR8" s="49">
        <v>48618</v>
      </c>
      <c r="AS8" s="60">
        <v>8537</v>
      </c>
      <c r="AT8" s="49">
        <v>6488</v>
      </c>
      <c r="AU8" s="61">
        <v>7385</v>
      </c>
      <c r="AV8" s="53">
        <f>AP8+AS8</f>
        <v>41346</v>
      </c>
      <c r="AW8" s="53">
        <f>AQ8+AT8</f>
        <v>40591</v>
      </c>
      <c r="AX8" s="53">
        <f>AR8+AU8</f>
        <v>56003</v>
      </c>
      <c r="AY8" s="60">
        <f>1416+2960</f>
        <v>4376</v>
      </c>
      <c r="AZ8" s="49"/>
      <c r="BA8" s="61"/>
      <c r="BB8" s="54">
        <f t="shared" si="2"/>
        <v>303324</v>
      </c>
      <c r="BC8" s="54">
        <f t="shared" si="3"/>
        <v>43332</v>
      </c>
      <c r="BD8" s="62">
        <f t="shared" si="4"/>
        <v>21880</v>
      </c>
      <c r="BF8" s="330"/>
    </row>
    <row r="9" spans="1:61" s="56" customFormat="1">
      <c r="A9" s="57" t="s">
        <v>59</v>
      </c>
      <c r="B9" s="34" t="s">
        <v>35</v>
      </c>
      <c r="C9" s="34" t="s">
        <v>36</v>
      </c>
      <c r="D9" s="35" t="s">
        <v>37</v>
      </c>
      <c r="E9" s="58" t="s">
        <v>57</v>
      </c>
      <c r="F9" s="37">
        <v>1230100</v>
      </c>
      <c r="G9" s="34" t="s">
        <v>39</v>
      </c>
      <c r="H9" s="34" t="s">
        <v>47</v>
      </c>
      <c r="I9" s="34">
        <v>6</v>
      </c>
      <c r="J9" s="34">
        <v>175</v>
      </c>
      <c r="K9" s="34">
        <f t="shared" si="0"/>
        <v>1050</v>
      </c>
      <c r="L9" s="34"/>
      <c r="M9" s="34" t="s">
        <v>53</v>
      </c>
      <c r="N9" s="34" t="s">
        <v>43</v>
      </c>
      <c r="O9" s="58" t="s">
        <v>54</v>
      </c>
      <c r="P9" s="39" t="s">
        <v>55</v>
      </c>
      <c r="Q9" s="59" t="s">
        <v>51</v>
      </c>
      <c r="R9" s="283"/>
      <c r="S9" s="284"/>
      <c r="T9" s="285"/>
      <c r="U9" s="284"/>
      <c r="V9" s="284"/>
      <c r="W9" s="284"/>
      <c r="X9" s="283"/>
      <c r="Y9" s="284"/>
      <c r="Z9" s="285"/>
      <c r="AA9" s="284"/>
      <c r="AB9" s="284"/>
      <c r="AC9" s="284"/>
      <c r="AD9" s="286"/>
      <c r="AE9" s="287"/>
      <c r="AF9" s="288"/>
      <c r="AG9" s="287"/>
      <c r="AH9" s="287"/>
      <c r="AI9" s="287"/>
      <c r="AJ9" s="286"/>
      <c r="AK9" s="287"/>
      <c r="AL9" s="288"/>
      <c r="AM9" s="286"/>
      <c r="AN9" s="287"/>
      <c r="AO9" s="288"/>
      <c r="AP9" s="34"/>
      <c r="AQ9" s="34"/>
      <c r="AR9" s="34"/>
      <c r="AS9" s="60">
        <v>61418</v>
      </c>
      <c r="AT9" s="49"/>
      <c r="AU9" s="61"/>
      <c r="AV9" s="53">
        <f>AP9+AS9</f>
        <v>61418</v>
      </c>
      <c r="AW9" s="53">
        <f>AQ9+AT9</f>
        <v>0</v>
      </c>
      <c r="AX9" s="53"/>
      <c r="AY9" s="35"/>
      <c r="AZ9" s="34"/>
      <c r="BA9" s="64"/>
      <c r="BB9" s="54">
        <f t="shared" si="2"/>
        <v>307090</v>
      </c>
      <c r="BC9" s="54">
        <f t="shared" si="3"/>
        <v>61418</v>
      </c>
      <c r="BD9" s="62">
        <f t="shared" si="4"/>
        <v>0</v>
      </c>
      <c r="BE9" s="387"/>
      <c r="BF9" s="58"/>
      <c r="BG9" s="66">
        <v>2007</v>
      </c>
      <c r="BH9" s="72" t="s">
        <v>60</v>
      </c>
    </row>
    <row r="10" spans="1:61" s="56" customFormat="1">
      <c r="A10" s="57" t="s">
        <v>61</v>
      </c>
      <c r="B10" s="34" t="s">
        <v>35</v>
      </c>
      <c r="C10" s="34" t="s">
        <v>36</v>
      </c>
      <c r="D10" s="35" t="s">
        <v>37</v>
      </c>
      <c r="E10" s="58" t="s">
        <v>62</v>
      </c>
      <c r="F10" s="37">
        <v>61374</v>
      </c>
      <c r="G10" s="34" t="s">
        <v>63</v>
      </c>
      <c r="H10" s="34" t="s">
        <v>47</v>
      </c>
      <c r="I10" s="34">
        <v>10</v>
      </c>
      <c r="J10" s="34">
        <v>160</v>
      </c>
      <c r="K10" s="34">
        <f t="shared" si="0"/>
        <v>1600</v>
      </c>
      <c r="L10" s="38"/>
      <c r="M10" s="38" t="s">
        <v>42</v>
      </c>
      <c r="N10" s="34" t="s">
        <v>64</v>
      </c>
      <c r="O10" s="58" t="s">
        <v>54</v>
      </c>
      <c r="P10" s="39" t="s">
        <v>50</v>
      </c>
      <c r="Q10" s="59" t="s">
        <v>46</v>
      </c>
      <c r="R10" s="68">
        <v>2220</v>
      </c>
      <c r="S10" s="44"/>
      <c r="T10" s="69"/>
      <c r="U10" s="44">
        <v>14</v>
      </c>
      <c r="V10" s="44"/>
      <c r="W10" s="44"/>
      <c r="X10" s="68">
        <f t="shared" ref="X10:Z12" si="7">R10+U10</f>
        <v>2234</v>
      </c>
      <c r="Y10" s="44">
        <f t="shared" si="7"/>
        <v>0</v>
      </c>
      <c r="Z10" s="69">
        <f t="shared" si="7"/>
        <v>0</v>
      </c>
      <c r="AA10" s="44"/>
      <c r="AB10" s="44"/>
      <c r="AC10" s="44"/>
      <c r="AD10" s="70">
        <v>1981</v>
      </c>
      <c r="AE10" s="48">
        <v>0</v>
      </c>
      <c r="AF10" s="71">
        <v>0</v>
      </c>
      <c r="AG10" s="48">
        <v>13</v>
      </c>
      <c r="AH10" s="48">
        <v>0</v>
      </c>
      <c r="AI10" s="48">
        <v>0</v>
      </c>
      <c r="AJ10" s="70">
        <f t="shared" ref="AJ10:AL21" si="8">AD10+AG10</f>
        <v>1994</v>
      </c>
      <c r="AK10" s="48">
        <f t="shared" si="8"/>
        <v>0</v>
      </c>
      <c r="AL10" s="71">
        <f t="shared" si="8"/>
        <v>0</v>
      </c>
      <c r="AM10" s="70"/>
      <c r="AN10" s="48"/>
      <c r="AO10" s="71"/>
      <c r="AP10" s="49">
        <f t="shared" ref="AP10:AX14" si="9">AVERAGE(R10,AD10)</f>
        <v>2100.5</v>
      </c>
      <c r="AQ10" s="49">
        <f t="shared" si="9"/>
        <v>0</v>
      </c>
      <c r="AR10" s="49">
        <f t="shared" si="9"/>
        <v>0</v>
      </c>
      <c r="AS10" s="60">
        <f t="shared" si="9"/>
        <v>13.5</v>
      </c>
      <c r="AT10" s="49">
        <f t="shared" si="9"/>
        <v>0</v>
      </c>
      <c r="AU10" s="61">
        <f t="shared" si="9"/>
        <v>0</v>
      </c>
      <c r="AV10" s="53">
        <f t="shared" si="9"/>
        <v>2114</v>
      </c>
      <c r="AW10" s="53">
        <f t="shared" si="9"/>
        <v>0</v>
      </c>
      <c r="AX10" s="53">
        <f t="shared" si="9"/>
        <v>0</v>
      </c>
      <c r="AY10" s="60"/>
      <c r="AZ10" s="49"/>
      <c r="BA10" s="61"/>
      <c r="BB10" s="54">
        <f t="shared" si="2"/>
        <v>10570</v>
      </c>
      <c r="BC10" s="54">
        <f t="shared" si="3"/>
        <v>2114</v>
      </c>
      <c r="BD10" s="62">
        <f t="shared" si="4"/>
        <v>0</v>
      </c>
      <c r="BF10" s="330"/>
    </row>
    <row r="11" spans="1:61" s="56" customFormat="1">
      <c r="A11" s="57" t="s">
        <v>467</v>
      </c>
      <c r="B11" s="34" t="s">
        <v>35</v>
      </c>
      <c r="C11" s="34" t="s">
        <v>36</v>
      </c>
      <c r="D11" s="35" t="s">
        <v>37</v>
      </c>
      <c r="E11" s="58" t="s">
        <v>65</v>
      </c>
      <c r="F11" s="37">
        <v>55032</v>
      </c>
      <c r="G11" s="34" t="s">
        <v>63</v>
      </c>
      <c r="H11" s="34" t="s">
        <v>47</v>
      </c>
      <c r="I11" s="34">
        <v>10</v>
      </c>
      <c r="J11" s="34">
        <v>160</v>
      </c>
      <c r="K11" s="34">
        <f t="shared" si="0"/>
        <v>1600</v>
      </c>
      <c r="L11" s="38"/>
      <c r="M11" s="38" t="s">
        <v>42</v>
      </c>
      <c r="N11" s="34" t="s">
        <v>64</v>
      </c>
      <c r="O11" s="58" t="s">
        <v>54</v>
      </c>
      <c r="P11" s="39" t="s">
        <v>50</v>
      </c>
      <c r="Q11" s="59" t="s">
        <v>46</v>
      </c>
      <c r="R11" s="68">
        <v>4581</v>
      </c>
      <c r="S11" s="44"/>
      <c r="T11" s="69"/>
      <c r="U11" s="44">
        <v>12</v>
      </c>
      <c r="V11" s="44"/>
      <c r="W11" s="44"/>
      <c r="X11" s="68">
        <f t="shared" si="7"/>
        <v>4593</v>
      </c>
      <c r="Y11" s="44">
        <f t="shared" si="7"/>
        <v>0</v>
      </c>
      <c r="Z11" s="69">
        <f t="shared" si="7"/>
        <v>0</v>
      </c>
      <c r="AA11" s="44"/>
      <c r="AB11" s="44"/>
      <c r="AC11" s="44"/>
      <c r="AD11" s="70">
        <v>4107</v>
      </c>
      <c r="AE11" s="48">
        <v>0</v>
      </c>
      <c r="AF11" s="71">
        <v>0</v>
      </c>
      <c r="AG11" s="48">
        <v>37</v>
      </c>
      <c r="AH11" s="48">
        <v>0</v>
      </c>
      <c r="AI11" s="48">
        <v>0</v>
      </c>
      <c r="AJ11" s="70">
        <f t="shared" si="8"/>
        <v>4144</v>
      </c>
      <c r="AK11" s="48">
        <f t="shared" si="8"/>
        <v>0</v>
      </c>
      <c r="AL11" s="71">
        <f t="shared" si="8"/>
        <v>0</v>
      </c>
      <c r="AM11" s="70"/>
      <c r="AN11" s="48"/>
      <c r="AO11" s="71"/>
      <c r="AP11" s="49">
        <f t="shared" si="9"/>
        <v>4344</v>
      </c>
      <c r="AQ11" s="49">
        <f t="shared" si="9"/>
        <v>0</v>
      </c>
      <c r="AR11" s="49">
        <f t="shared" si="9"/>
        <v>0</v>
      </c>
      <c r="AS11" s="60">
        <f t="shared" si="9"/>
        <v>24.5</v>
      </c>
      <c r="AT11" s="49">
        <f t="shared" si="9"/>
        <v>0</v>
      </c>
      <c r="AU11" s="61">
        <f t="shared" si="9"/>
        <v>0</v>
      </c>
      <c r="AV11" s="53">
        <f t="shared" si="9"/>
        <v>4368.5</v>
      </c>
      <c r="AW11" s="53">
        <f t="shared" si="9"/>
        <v>0</v>
      </c>
      <c r="AX11" s="53">
        <f t="shared" si="9"/>
        <v>0</v>
      </c>
      <c r="AY11" s="60"/>
      <c r="AZ11" s="49"/>
      <c r="BA11" s="61"/>
      <c r="BB11" s="54">
        <f t="shared" si="2"/>
        <v>21842.5</v>
      </c>
      <c r="BC11" s="54">
        <f t="shared" si="3"/>
        <v>4368.5</v>
      </c>
      <c r="BD11" s="62">
        <f t="shared" si="4"/>
        <v>0</v>
      </c>
      <c r="BF11" s="330"/>
    </row>
    <row r="12" spans="1:61" s="56" customFormat="1">
      <c r="A12" s="57" t="s">
        <v>66</v>
      </c>
      <c r="B12" s="34" t="s">
        <v>35</v>
      </c>
      <c r="C12" s="34" t="s">
        <v>36</v>
      </c>
      <c r="D12" s="35" t="s">
        <v>37</v>
      </c>
      <c r="E12" s="58" t="s">
        <v>67</v>
      </c>
      <c r="F12" s="37">
        <v>105999</v>
      </c>
      <c r="G12" s="34" t="s">
        <v>68</v>
      </c>
      <c r="H12" s="34" t="s">
        <v>40</v>
      </c>
      <c r="I12" s="34">
        <v>10</v>
      </c>
      <c r="J12" s="34">
        <v>301</v>
      </c>
      <c r="K12" s="34">
        <f t="shared" si="0"/>
        <v>3010</v>
      </c>
      <c r="L12" s="38" t="s">
        <v>69</v>
      </c>
      <c r="M12" s="38" t="s">
        <v>42</v>
      </c>
      <c r="N12" s="34" t="s">
        <v>43</v>
      </c>
      <c r="O12" s="58" t="s">
        <v>49</v>
      </c>
      <c r="P12" s="39" t="s">
        <v>70</v>
      </c>
      <c r="Q12" s="59" t="s">
        <v>46</v>
      </c>
      <c r="R12" s="68">
        <f>14126-593</f>
        <v>13533</v>
      </c>
      <c r="S12" s="44">
        <f>13477-591</f>
        <v>12886</v>
      </c>
      <c r="T12" s="69">
        <f>12037-484</f>
        <v>11553</v>
      </c>
      <c r="U12" s="44">
        <f>593+3944</f>
        <v>4537</v>
      </c>
      <c r="V12" s="44">
        <f>591+2000</f>
        <v>2591</v>
      </c>
      <c r="W12" s="44">
        <f>484+454</f>
        <v>938</v>
      </c>
      <c r="X12" s="68">
        <f t="shared" si="7"/>
        <v>18070</v>
      </c>
      <c r="Y12" s="44">
        <f t="shared" si="7"/>
        <v>15477</v>
      </c>
      <c r="Z12" s="69">
        <f t="shared" si="7"/>
        <v>12491</v>
      </c>
      <c r="AA12" s="44"/>
      <c r="AB12" s="44"/>
      <c r="AC12" s="44"/>
      <c r="AD12" s="70">
        <v>12116</v>
      </c>
      <c r="AE12" s="48">
        <v>12408</v>
      </c>
      <c r="AF12" s="71">
        <v>11268</v>
      </c>
      <c r="AG12" s="48">
        <v>5628</v>
      </c>
      <c r="AH12" s="48">
        <v>2735</v>
      </c>
      <c r="AI12" s="48">
        <v>1109</v>
      </c>
      <c r="AJ12" s="70">
        <f t="shared" si="8"/>
        <v>17744</v>
      </c>
      <c r="AK12" s="48">
        <f t="shared" si="8"/>
        <v>15143</v>
      </c>
      <c r="AL12" s="71">
        <f t="shared" si="8"/>
        <v>12377</v>
      </c>
      <c r="AM12" s="70">
        <v>224</v>
      </c>
      <c r="AN12" s="48">
        <v>236</v>
      </c>
      <c r="AO12" s="71">
        <v>237</v>
      </c>
      <c r="AP12" s="49">
        <f t="shared" si="9"/>
        <v>12824.5</v>
      </c>
      <c r="AQ12" s="49">
        <f t="shared" si="9"/>
        <v>12647</v>
      </c>
      <c r="AR12" s="49">
        <f t="shared" si="9"/>
        <v>11410.5</v>
      </c>
      <c r="AS12" s="60">
        <f t="shared" si="9"/>
        <v>5082.5</v>
      </c>
      <c r="AT12" s="49">
        <f t="shared" si="9"/>
        <v>2663</v>
      </c>
      <c r="AU12" s="61">
        <f t="shared" si="9"/>
        <v>1023.5</v>
      </c>
      <c r="AV12" s="53">
        <f t="shared" si="9"/>
        <v>17907</v>
      </c>
      <c r="AW12" s="53">
        <f t="shared" si="9"/>
        <v>15310</v>
      </c>
      <c r="AX12" s="53">
        <f t="shared" si="9"/>
        <v>12434</v>
      </c>
      <c r="AY12" s="60">
        <f>AVERAGE(AA12,AM12)</f>
        <v>224</v>
      </c>
      <c r="AZ12" s="49">
        <f>AVERAGE(AB12,AN12)</f>
        <v>236</v>
      </c>
      <c r="BA12" s="61">
        <f>AVERAGE(AC12,AO12)</f>
        <v>237</v>
      </c>
      <c r="BB12" s="54">
        <f t="shared" si="2"/>
        <v>117279</v>
      </c>
      <c r="BC12" s="54">
        <f t="shared" si="3"/>
        <v>16754.142857142859</v>
      </c>
      <c r="BD12" s="62">
        <f t="shared" si="4"/>
        <v>1593</v>
      </c>
      <c r="BF12" s="330"/>
    </row>
    <row r="13" spans="1:61" s="56" customFormat="1">
      <c r="A13" s="57" t="s">
        <v>71</v>
      </c>
      <c r="B13" s="34" t="s">
        <v>35</v>
      </c>
      <c r="C13" s="34" t="s">
        <v>36</v>
      </c>
      <c r="D13" s="35" t="s">
        <v>37</v>
      </c>
      <c r="E13" s="58" t="s">
        <v>72</v>
      </c>
      <c r="F13" s="37">
        <v>72807</v>
      </c>
      <c r="G13" s="34" t="s">
        <v>63</v>
      </c>
      <c r="H13" s="34" t="s">
        <v>40</v>
      </c>
      <c r="I13" s="34">
        <v>10</v>
      </c>
      <c r="J13" s="34">
        <v>302</v>
      </c>
      <c r="K13" s="34">
        <f t="shared" si="0"/>
        <v>3020</v>
      </c>
      <c r="L13" s="38" t="s">
        <v>73</v>
      </c>
      <c r="M13" s="38" t="s">
        <v>42</v>
      </c>
      <c r="N13" s="34" t="s">
        <v>64</v>
      </c>
      <c r="O13" s="58" t="s">
        <v>44</v>
      </c>
      <c r="P13" s="39" t="s">
        <v>70</v>
      </c>
      <c r="Q13" s="59" t="s">
        <v>46</v>
      </c>
      <c r="R13" s="68">
        <v>10481</v>
      </c>
      <c r="S13" s="44">
        <v>10481</v>
      </c>
      <c r="T13" s="69"/>
      <c r="U13" s="44">
        <v>341</v>
      </c>
      <c r="V13" s="44">
        <v>341</v>
      </c>
      <c r="W13" s="44"/>
      <c r="X13" s="68">
        <f>R13+U13</f>
        <v>10822</v>
      </c>
      <c r="Y13" s="44">
        <f>S13+V13</f>
        <v>10822</v>
      </c>
      <c r="Z13" s="69"/>
      <c r="AA13" s="44">
        <v>149</v>
      </c>
      <c r="AB13" s="44">
        <v>149</v>
      </c>
      <c r="AC13" s="44"/>
      <c r="AD13" s="70">
        <v>9506</v>
      </c>
      <c r="AE13" s="48">
        <v>9506</v>
      </c>
      <c r="AF13" s="71">
        <v>0</v>
      </c>
      <c r="AG13" s="48">
        <v>1249</v>
      </c>
      <c r="AH13" s="48">
        <v>1249</v>
      </c>
      <c r="AI13" s="48">
        <v>0</v>
      </c>
      <c r="AJ13" s="70">
        <f t="shared" si="8"/>
        <v>10755</v>
      </c>
      <c r="AK13" s="48">
        <f t="shared" si="8"/>
        <v>10755</v>
      </c>
      <c r="AL13" s="71">
        <f t="shared" si="8"/>
        <v>0</v>
      </c>
      <c r="AM13" s="70">
        <v>162</v>
      </c>
      <c r="AN13" s="48">
        <v>162</v>
      </c>
      <c r="AO13" s="71"/>
      <c r="AP13" s="49">
        <f t="shared" si="9"/>
        <v>9993.5</v>
      </c>
      <c r="AQ13" s="49">
        <f t="shared" si="9"/>
        <v>9993.5</v>
      </c>
      <c r="AR13" s="49">
        <f t="shared" si="9"/>
        <v>0</v>
      </c>
      <c r="AS13" s="60">
        <f t="shared" si="9"/>
        <v>795</v>
      </c>
      <c r="AT13" s="49">
        <f t="shared" si="9"/>
        <v>795</v>
      </c>
      <c r="AU13" s="61">
        <f t="shared" si="9"/>
        <v>0</v>
      </c>
      <c r="AV13" s="53">
        <f t="shared" si="9"/>
        <v>10788.5</v>
      </c>
      <c r="AW13" s="53">
        <f t="shared" si="9"/>
        <v>10788.5</v>
      </c>
      <c r="AX13" s="53">
        <f t="shared" si="9"/>
        <v>0</v>
      </c>
      <c r="AY13" s="60">
        <f>AVERAGE(AA13,AM13)</f>
        <v>155.5</v>
      </c>
      <c r="AZ13" s="49">
        <f>AVERAGE(AB13,AN13)</f>
        <v>155.5</v>
      </c>
      <c r="BA13" s="61"/>
      <c r="BB13" s="54">
        <f t="shared" si="2"/>
        <v>64731</v>
      </c>
      <c r="BC13" s="54">
        <f t="shared" si="3"/>
        <v>10788.5</v>
      </c>
      <c r="BD13" s="62">
        <f t="shared" si="4"/>
        <v>933</v>
      </c>
      <c r="BF13" s="330"/>
    </row>
    <row r="14" spans="1:61" s="101" customFormat="1">
      <c r="A14" s="57" t="s">
        <v>74</v>
      </c>
      <c r="B14" s="34" t="s">
        <v>35</v>
      </c>
      <c r="C14" s="34" t="s">
        <v>36</v>
      </c>
      <c r="D14" s="35" t="s">
        <v>37</v>
      </c>
      <c r="E14" s="58" t="s">
        <v>75</v>
      </c>
      <c r="F14" s="37">
        <v>90564</v>
      </c>
      <c r="G14" s="34" t="s">
        <v>63</v>
      </c>
      <c r="H14" s="34" t="s">
        <v>40</v>
      </c>
      <c r="I14" s="34">
        <v>6</v>
      </c>
      <c r="J14" s="34">
        <v>300</v>
      </c>
      <c r="K14" s="34">
        <f t="shared" si="0"/>
        <v>1800</v>
      </c>
      <c r="L14" s="38" t="s">
        <v>76</v>
      </c>
      <c r="M14" s="38" t="s">
        <v>42</v>
      </c>
      <c r="N14" s="34" t="s">
        <v>64</v>
      </c>
      <c r="O14" s="58" t="s">
        <v>44</v>
      </c>
      <c r="P14" s="39" t="s">
        <v>77</v>
      </c>
      <c r="Q14" s="59" t="s">
        <v>46</v>
      </c>
      <c r="R14" s="68">
        <f>11907-495</f>
        <v>11412</v>
      </c>
      <c r="S14" s="44">
        <f>11853-458</f>
        <v>11395</v>
      </c>
      <c r="T14" s="69"/>
      <c r="U14" s="44">
        <f>495+342</f>
        <v>837</v>
      </c>
      <c r="V14" s="44">
        <f>458+344</f>
        <v>802</v>
      </c>
      <c r="W14" s="44"/>
      <c r="X14" s="68">
        <f>R14+U14</f>
        <v>12249</v>
      </c>
      <c r="Y14" s="44">
        <f>S14+V14</f>
        <v>12197</v>
      </c>
      <c r="Z14" s="69"/>
      <c r="AA14" s="44"/>
      <c r="AB14" s="44"/>
      <c r="AC14" s="44"/>
      <c r="AD14" s="70">
        <v>10859</v>
      </c>
      <c r="AE14" s="48">
        <v>11165</v>
      </c>
      <c r="AF14" s="71">
        <v>0</v>
      </c>
      <c r="AG14" s="48">
        <v>1068</v>
      </c>
      <c r="AH14" s="48">
        <v>742</v>
      </c>
      <c r="AI14" s="48">
        <v>0</v>
      </c>
      <c r="AJ14" s="70">
        <f t="shared" si="8"/>
        <v>11927</v>
      </c>
      <c r="AK14" s="48">
        <f t="shared" si="8"/>
        <v>11907</v>
      </c>
      <c r="AL14" s="71">
        <f t="shared" si="8"/>
        <v>0</v>
      </c>
      <c r="AM14" s="70">
        <v>56</v>
      </c>
      <c r="AN14" s="48">
        <v>56</v>
      </c>
      <c r="AO14" s="71"/>
      <c r="AP14" s="49">
        <f t="shared" si="9"/>
        <v>11135.5</v>
      </c>
      <c r="AQ14" s="49">
        <f t="shared" si="9"/>
        <v>11280</v>
      </c>
      <c r="AR14" s="49">
        <f t="shared" si="9"/>
        <v>0</v>
      </c>
      <c r="AS14" s="60">
        <f t="shared" si="9"/>
        <v>952.5</v>
      </c>
      <c r="AT14" s="49">
        <f t="shared" si="9"/>
        <v>772</v>
      </c>
      <c r="AU14" s="61">
        <f t="shared" si="9"/>
        <v>0</v>
      </c>
      <c r="AV14" s="53">
        <f t="shared" si="9"/>
        <v>12088</v>
      </c>
      <c r="AW14" s="53">
        <f t="shared" si="9"/>
        <v>12052</v>
      </c>
      <c r="AX14" s="53">
        <f t="shared" si="9"/>
        <v>0</v>
      </c>
      <c r="AY14" s="60">
        <f>AVERAGE(AA14,AM14)</f>
        <v>56</v>
      </c>
      <c r="AZ14" s="49">
        <f>AVERAGE(AB14,AN14)</f>
        <v>56</v>
      </c>
      <c r="BA14" s="61"/>
      <c r="BB14" s="54">
        <f t="shared" si="2"/>
        <v>72492</v>
      </c>
      <c r="BC14" s="54">
        <f t="shared" si="3"/>
        <v>12082</v>
      </c>
      <c r="BD14" s="62">
        <f t="shared" si="4"/>
        <v>336</v>
      </c>
      <c r="BE14" s="74"/>
      <c r="BF14" s="341"/>
      <c r="BG14" s="74"/>
      <c r="BH14" s="74"/>
      <c r="BI14" s="56"/>
    </row>
    <row r="15" spans="1:61" s="73" customFormat="1">
      <c r="A15" s="342" t="s">
        <v>78</v>
      </c>
      <c r="B15" s="75" t="s">
        <v>35</v>
      </c>
      <c r="C15" s="75" t="s">
        <v>79</v>
      </c>
      <c r="D15" s="76" t="s">
        <v>80</v>
      </c>
      <c r="E15" s="77" t="s">
        <v>81</v>
      </c>
      <c r="F15" s="78">
        <v>25037</v>
      </c>
      <c r="G15" s="75" t="s">
        <v>82</v>
      </c>
      <c r="H15" s="75" t="s">
        <v>47</v>
      </c>
      <c r="I15" s="75">
        <v>7</v>
      </c>
      <c r="J15" s="75">
        <v>196</v>
      </c>
      <c r="K15" s="75">
        <f t="shared" si="0"/>
        <v>1372</v>
      </c>
      <c r="L15" s="79" t="s">
        <v>83</v>
      </c>
      <c r="M15" s="38" t="s">
        <v>42</v>
      </c>
      <c r="N15" s="75" t="s">
        <v>64</v>
      </c>
      <c r="O15" s="77" t="s">
        <v>54</v>
      </c>
      <c r="P15" s="80" t="s">
        <v>77</v>
      </c>
      <c r="Q15" s="81" t="s">
        <v>84</v>
      </c>
      <c r="R15" s="89"/>
      <c r="S15" s="90"/>
      <c r="T15" s="91"/>
      <c r="U15" s="90"/>
      <c r="V15" s="90"/>
      <c r="W15" s="90"/>
      <c r="X15" s="89"/>
      <c r="Y15" s="90"/>
      <c r="Z15" s="91"/>
      <c r="AA15" s="90"/>
      <c r="AB15" s="90"/>
      <c r="AC15" s="90"/>
      <c r="AD15" s="92"/>
      <c r="AE15" s="93"/>
      <c r="AF15" s="94"/>
      <c r="AG15" s="93"/>
      <c r="AH15" s="93"/>
      <c r="AI15" s="93"/>
      <c r="AJ15" s="92">
        <f t="shared" si="8"/>
        <v>0</v>
      </c>
      <c r="AK15" s="93">
        <f t="shared" si="8"/>
        <v>0</v>
      </c>
      <c r="AL15" s="94">
        <f t="shared" si="8"/>
        <v>0</v>
      </c>
      <c r="AM15" s="92"/>
      <c r="AN15" s="93"/>
      <c r="AO15" s="94"/>
      <c r="AP15" s="83">
        <v>2352</v>
      </c>
      <c r="AQ15" s="83">
        <v>0</v>
      </c>
      <c r="AR15" s="83">
        <v>0</v>
      </c>
      <c r="AS15" s="82">
        <v>0</v>
      </c>
      <c r="AT15" s="83">
        <v>0</v>
      </c>
      <c r="AU15" s="297">
        <v>11735</v>
      </c>
      <c r="AV15" s="85">
        <f t="shared" ref="AV15:AX18" si="10">AP15+AS15</f>
        <v>2352</v>
      </c>
      <c r="AW15" s="85">
        <f t="shared" si="10"/>
        <v>0</v>
      </c>
      <c r="AX15" s="296">
        <f t="shared" si="10"/>
        <v>11735</v>
      </c>
      <c r="AY15" s="82"/>
      <c r="AZ15" s="83"/>
      <c r="BA15" s="84"/>
      <c r="BB15" s="86">
        <f>(AV15*5)+AW15+AX15</f>
        <v>23495</v>
      </c>
      <c r="BC15" s="86">
        <f t="shared" ref="BC15:BC25" si="11">IF($O15="M-Sa",(BB15/6),IF($O15="m-su",(BB15/7),IF($O15="M-F",(BB15/5),IF($O15="T-Su",(BB15/6),IF($O15="T-Sa",(BB15/5),IF($O15="T-F",(BB15/4),IF($O15="Su-F",(BB15/6),(BB15/7))))))))</f>
        <v>4699</v>
      </c>
      <c r="BD15" s="87">
        <f t="shared" si="4"/>
        <v>0</v>
      </c>
      <c r="BF15" s="347" t="s">
        <v>554</v>
      </c>
      <c r="BH15" s="73" t="s">
        <v>85</v>
      </c>
    </row>
    <row r="16" spans="1:61" s="56" customFormat="1">
      <c r="A16" s="240" t="s">
        <v>468</v>
      </c>
      <c r="B16" s="241" t="s">
        <v>35</v>
      </c>
      <c r="C16" s="241" t="s">
        <v>79</v>
      </c>
      <c r="D16" s="242" t="s">
        <v>80</v>
      </c>
      <c r="E16" s="243" t="s">
        <v>469</v>
      </c>
      <c r="F16" s="244">
        <v>11583</v>
      </c>
      <c r="G16" s="241" t="s">
        <v>82</v>
      </c>
      <c r="H16" s="241" t="s">
        <v>40</v>
      </c>
      <c r="I16" s="241">
        <v>10</v>
      </c>
      <c r="J16" s="241">
        <v>301</v>
      </c>
      <c r="K16" s="241">
        <f t="shared" si="0"/>
        <v>3010</v>
      </c>
      <c r="L16" s="245"/>
      <c r="M16" s="38" t="s">
        <v>42</v>
      </c>
      <c r="N16" s="241" t="s">
        <v>64</v>
      </c>
      <c r="O16" s="243" t="s">
        <v>54</v>
      </c>
      <c r="P16" s="247" t="s">
        <v>88</v>
      </c>
      <c r="Q16" s="246" t="s">
        <v>84</v>
      </c>
      <c r="R16" s="256"/>
      <c r="S16" s="257"/>
      <c r="T16" s="258"/>
      <c r="U16" s="257"/>
      <c r="V16" s="257"/>
      <c r="W16" s="257"/>
      <c r="X16" s="256"/>
      <c r="Y16" s="257"/>
      <c r="Z16" s="258"/>
      <c r="AA16" s="257"/>
      <c r="AB16" s="257"/>
      <c r="AC16" s="257"/>
      <c r="AD16" s="259"/>
      <c r="AE16" s="260"/>
      <c r="AF16" s="261"/>
      <c r="AG16" s="260"/>
      <c r="AH16" s="260"/>
      <c r="AI16" s="260"/>
      <c r="AJ16" s="259">
        <f t="shared" si="8"/>
        <v>0</v>
      </c>
      <c r="AK16" s="260">
        <f t="shared" si="8"/>
        <v>0</v>
      </c>
      <c r="AL16" s="261">
        <f t="shared" si="8"/>
        <v>0</v>
      </c>
      <c r="AM16" s="259"/>
      <c r="AN16" s="260"/>
      <c r="AO16" s="261"/>
      <c r="AP16" s="249">
        <v>1470</v>
      </c>
      <c r="AQ16" s="249">
        <v>0</v>
      </c>
      <c r="AR16" s="249">
        <v>0</v>
      </c>
      <c r="AS16" s="248">
        <v>0</v>
      </c>
      <c r="AT16" s="249">
        <v>0</v>
      </c>
      <c r="AU16" s="250">
        <v>0</v>
      </c>
      <c r="AV16" s="251">
        <f t="shared" si="10"/>
        <v>1470</v>
      </c>
      <c r="AW16" s="251">
        <f t="shared" si="10"/>
        <v>0</v>
      </c>
      <c r="AX16" s="251">
        <f t="shared" si="10"/>
        <v>0</v>
      </c>
      <c r="AY16" s="248"/>
      <c r="AZ16" s="249"/>
      <c r="BA16" s="250"/>
      <c r="BB16" s="252">
        <f>IF($O16="M-Sa",(AV16*5)+AW16+AX16,IF($O16="m-su",(AV16*5)+AW16+AX16,IF($O16="M-F",(AV16*5),IF($O16="T-Su",(AV16*4)+AW16+AX16,IF($O16="T-Sa",(AV16*4)+AW16,IF($O16="T-F",(AV16*4),IF($O16="Su-F",(AV16*5)+AW16+AX16,(AV16*5+AW16+AX16))))))))</f>
        <v>7350</v>
      </c>
      <c r="BC16" s="252">
        <f t="shared" si="11"/>
        <v>1470</v>
      </c>
      <c r="BD16" s="253">
        <f t="shared" si="4"/>
        <v>0</v>
      </c>
      <c r="BE16" s="101"/>
      <c r="BF16" s="336" t="s">
        <v>576</v>
      </c>
      <c r="BG16" s="101"/>
      <c r="BH16" s="101"/>
      <c r="BI16" s="101"/>
    </row>
    <row r="17" spans="1:61" s="56" customFormat="1">
      <c r="A17" s="57" t="s">
        <v>86</v>
      </c>
      <c r="B17" s="34" t="s">
        <v>35</v>
      </c>
      <c r="C17" s="34" t="s">
        <v>79</v>
      </c>
      <c r="D17" s="35" t="s">
        <v>80</v>
      </c>
      <c r="E17" s="58" t="s">
        <v>87</v>
      </c>
      <c r="F17" s="37">
        <v>26380</v>
      </c>
      <c r="G17" s="34" t="s">
        <v>82</v>
      </c>
      <c r="H17" s="34" t="s">
        <v>40</v>
      </c>
      <c r="I17" s="34">
        <v>10</v>
      </c>
      <c r="J17" s="34">
        <v>300</v>
      </c>
      <c r="K17" s="34">
        <f t="shared" si="0"/>
        <v>3000</v>
      </c>
      <c r="L17" s="38"/>
      <c r="M17" s="38" t="s">
        <v>42</v>
      </c>
      <c r="N17" s="34" t="s">
        <v>64</v>
      </c>
      <c r="O17" s="58" t="s">
        <v>54</v>
      </c>
      <c r="P17" s="39" t="s">
        <v>88</v>
      </c>
      <c r="Q17" s="59" t="s">
        <v>84</v>
      </c>
      <c r="R17" s="68"/>
      <c r="S17" s="44"/>
      <c r="T17" s="69"/>
      <c r="U17" s="44"/>
      <c r="V17" s="44"/>
      <c r="W17" s="44"/>
      <c r="X17" s="68"/>
      <c r="Y17" s="44"/>
      <c r="Z17" s="69"/>
      <c r="AA17" s="44"/>
      <c r="AB17" s="44"/>
      <c r="AC17" s="44"/>
      <c r="AD17" s="70"/>
      <c r="AE17" s="48"/>
      <c r="AF17" s="71"/>
      <c r="AG17" s="48"/>
      <c r="AH17" s="48"/>
      <c r="AI17" s="48"/>
      <c r="AJ17" s="70">
        <f t="shared" si="8"/>
        <v>0</v>
      </c>
      <c r="AK17" s="48">
        <f t="shared" si="8"/>
        <v>0</v>
      </c>
      <c r="AL17" s="71">
        <f t="shared" si="8"/>
        <v>0</v>
      </c>
      <c r="AM17" s="70"/>
      <c r="AN17" s="48"/>
      <c r="AO17" s="71"/>
      <c r="AP17" s="49">
        <v>2143</v>
      </c>
      <c r="AQ17" s="49">
        <v>0</v>
      </c>
      <c r="AR17" s="49">
        <v>0</v>
      </c>
      <c r="AS17" s="60">
        <v>0</v>
      </c>
      <c r="AT17" s="49">
        <v>0</v>
      </c>
      <c r="AU17" s="61">
        <v>0</v>
      </c>
      <c r="AV17" s="53">
        <f t="shared" si="10"/>
        <v>2143</v>
      </c>
      <c r="AW17" s="53">
        <f t="shared" si="10"/>
        <v>0</v>
      </c>
      <c r="AX17" s="53">
        <f t="shared" si="10"/>
        <v>0</v>
      </c>
      <c r="AY17" s="60"/>
      <c r="AZ17" s="49"/>
      <c r="BA17" s="61"/>
      <c r="BB17" s="54">
        <f>IF($O17="M-Sa",(AV17*5)+AW17+AX17,IF($O17="m-su",(AV17*5)+AW17+AX17,IF($O17="M-F",(AV17*5),IF($O17="T-Su",(AV17*4)+AW17+AX17,IF($O17="T-Sa",(AV17*4)+AW17,IF($O17="T-F",(AV17*4),IF($O17="Su-F",(AV17*5)+AW17+AX17,(AV17*5+AW17+AX17))))))))</f>
        <v>10715</v>
      </c>
      <c r="BC17" s="54">
        <f t="shared" si="11"/>
        <v>2143</v>
      </c>
      <c r="BD17" s="62">
        <f t="shared" si="4"/>
        <v>0</v>
      </c>
      <c r="BF17" s="354" t="s">
        <v>555</v>
      </c>
      <c r="BG17" s="65"/>
      <c r="BH17" s="100" t="s">
        <v>85</v>
      </c>
    </row>
    <row r="18" spans="1:61" s="56" customFormat="1">
      <c r="A18" s="240" t="s">
        <v>470</v>
      </c>
      <c r="B18" s="241" t="s">
        <v>35</v>
      </c>
      <c r="C18" s="241" t="s">
        <v>79</v>
      </c>
      <c r="D18" s="242" t="s">
        <v>80</v>
      </c>
      <c r="E18" s="243" t="s">
        <v>471</v>
      </c>
      <c r="F18" s="244">
        <v>98754</v>
      </c>
      <c r="G18" s="241" t="s">
        <v>63</v>
      </c>
      <c r="H18" s="241" t="s">
        <v>40</v>
      </c>
      <c r="I18" s="241">
        <v>10</v>
      </c>
      <c r="J18" s="241">
        <v>301</v>
      </c>
      <c r="K18" s="241">
        <f t="shared" si="0"/>
        <v>3010</v>
      </c>
      <c r="L18" s="245"/>
      <c r="M18" s="38" t="s">
        <v>42</v>
      </c>
      <c r="N18" s="241" t="s">
        <v>43</v>
      </c>
      <c r="O18" s="243" t="s">
        <v>44</v>
      </c>
      <c r="P18" s="247" t="s">
        <v>88</v>
      </c>
      <c r="Q18" s="246" t="s">
        <v>84</v>
      </c>
      <c r="R18" s="256"/>
      <c r="S18" s="257"/>
      <c r="T18" s="258"/>
      <c r="U18" s="257"/>
      <c r="V18" s="257"/>
      <c r="W18" s="257"/>
      <c r="X18" s="256"/>
      <c r="Y18" s="257"/>
      <c r="Z18" s="258"/>
      <c r="AA18" s="257"/>
      <c r="AB18" s="257"/>
      <c r="AC18" s="257"/>
      <c r="AD18" s="259"/>
      <c r="AE18" s="260"/>
      <c r="AF18" s="261"/>
      <c r="AG18" s="260"/>
      <c r="AH18" s="260"/>
      <c r="AI18" s="260"/>
      <c r="AJ18" s="70">
        <f t="shared" si="8"/>
        <v>0</v>
      </c>
      <c r="AK18" s="48">
        <f t="shared" si="8"/>
        <v>0</v>
      </c>
      <c r="AL18" s="71">
        <f t="shared" si="8"/>
        <v>0</v>
      </c>
      <c r="AM18" s="259"/>
      <c r="AN18" s="260"/>
      <c r="AO18" s="261"/>
      <c r="AP18" s="249">
        <v>9235</v>
      </c>
      <c r="AQ18" s="249">
        <v>9235</v>
      </c>
      <c r="AR18" s="249">
        <v>0</v>
      </c>
      <c r="AS18" s="248">
        <v>17950</v>
      </c>
      <c r="AT18" s="249">
        <v>17950</v>
      </c>
      <c r="AU18" s="250">
        <v>0</v>
      </c>
      <c r="AV18" s="53">
        <f t="shared" si="10"/>
        <v>27185</v>
      </c>
      <c r="AW18" s="53">
        <f t="shared" si="10"/>
        <v>27185</v>
      </c>
      <c r="AX18" s="53">
        <f t="shared" si="10"/>
        <v>0</v>
      </c>
      <c r="AY18" s="248">
        <v>83</v>
      </c>
      <c r="AZ18" s="249">
        <v>83</v>
      </c>
      <c r="BA18" s="250"/>
      <c r="BB18" s="252">
        <f>IF($O18="M-Sa",(AV18*5)+AW18+AX18,IF($O18="m-su",(AV18*5)+AW18+AX18,IF($O18="M-F",(AV18*5),IF($O18="T-Su",(AV18*4)+AW18+AX18,IF($O18="T-Sa",(AV18*4)+AW18,IF($O18="T-F",(AV18*4),IF($O18="Su-F",(AV18*5)+AW18+AX18,(AV18*5+AW18+AX18))))))))</f>
        <v>163110</v>
      </c>
      <c r="BC18" s="252">
        <f t="shared" si="11"/>
        <v>27185</v>
      </c>
      <c r="BD18" s="62">
        <f t="shared" si="4"/>
        <v>498</v>
      </c>
      <c r="BE18" s="101"/>
      <c r="BF18" s="336" t="s">
        <v>577</v>
      </c>
      <c r="BG18" s="101"/>
      <c r="BH18" s="101"/>
      <c r="BI18" s="101"/>
    </row>
    <row r="19" spans="1:61" s="56" customFormat="1">
      <c r="A19" s="57" t="s">
        <v>89</v>
      </c>
      <c r="B19" s="34" t="s">
        <v>35</v>
      </c>
      <c r="C19" s="34" t="s">
        <v>79</v>
      </c>
      <c r="D19" s="35" t="s">
        <v>80</v>
      </c>
      <c r="E19" s="58" t="s">
        <v>90</v>
      </c>
      <c r="F19" s="37">
        <v>184700</v>
      </c>
      <c r="G19" s="34" t="s">
        <v>68</v>
      </c>
      <c r="H19" s="34" t="s">
        <v>40</v>
      </c>
      <c r="I19" s="34">
        <v>10</v>
      </c>
      <c r="J19" s="34">
        <v>301</v>
      </c>
      <c r="K19" s="34">
        <f t="shared" si="0"/>
        <v>3010</v>
      </c>
      <c r="L19" s="38"/>
      <c r="M19" s="38" t="s">
        <v>42</v>
      </c>
      <c r="N19" s="34" t="s">
        <v>43</v>
      </c>
      <c r="O19" s="58" t="s">
        <v>49</v>
      </c>
      <c r="P19" s="39" t="s">
        <v>91</v>
      </c>
      <c r="Q19" s="59" t="s">
        <v>46</v>
      </c>
      <c r="R19" s="68">
        <f>11422-1580</f>
        <v>9842</v>
      </c>
      <c r="S19" s="44">
        <f>11499-1509</f>
        <v>9990</v>
      </c>
      <c r="T19" s="69">
        <f>11163-1506</f>
        <v>9657</v>
      </c>
      <c r="U19" s="44">
        <f>1580+258</f>
        <v>1838</v>
      </c>
      <c r="V19" s="44">
        <f>1509+257</f>
        <v>1766</v>
      </c>
      <c r="W19" s="44">
        <f>1506+257</f>
        <v>1763</v>
      </c>
      <c r="X19" s="68">
        <f>R19+U19</f>
        <v>11680</v>
      </c>
      <c r="Y19" s="44">
        <f>S19+V19</f>
        <v>11756</v>
      </c>
      <c r="Z19" s="69">
        <f>T19+W19</f>
        <v>11420</v>
      </c>
      <c r="AA19" s="44"/>
      <c r="AB19" s="44"/>
      <c r="AC19" s="44"/>
      <c r="AD19" s="70">
        <v>9522</v>
      </c>
      <c r="AE19" s="48">
        <v>9800</v>
      </c>
      <c r="AF19" s="71">
        <v>9509</v>
      </c>
      <c r="AG19" s="48">
        <v>1949</v>
      </c>
      <c r="AH19" s="48">
        <v>1755</v>
      </c>
      <c r="AI19" s="48">
        <v>1748</v>
      </c>
      <c r="AJ19" s="70">
        <f t="shared" si="8"/>
        <v>11471</v>
      </c>
      <c r="AK19" s="48">
        <f t="shared" si="8"/>
        <v>11555</v>
      </c>
      <c r="AL19" s="71">
        <f t="shared" si="8"/>
        <v>11257</v>
      </c>
      <c r="AM19" s="70">
        <v>99</v>
      </c>
      <c r="AN19" s="48">
        <v>98</v>
      </c>
      <c r="AO19" s="71">
        <v>98</v>
      </c>
      <c r="AP19" s="49">
        <f t="shared" ref="AP19:BA19" si="12">AVERAGE(R19,AD19)</f>
        <v>9682</v>
      </c>
      <c r="AQ19" s="49">
        <f t="shared" si="12"/>
        <v>9895</v>
      </c>
      <c r="AR19" s="49">
        <f t="shared" si="12"/>
        <v>9583</v>
      </c>
      <c r="AS19" s="60">
        <f t="shared" si="12"/>
        <v>1893.5</v>
      </c>
      <c r="AT19" s="49">
        <f t="shared" si="12"/>
        <v>1760.5</v>
      </c>
      <c r="AU19" s="61">
        <f t="shared" si="12"/>
        <v>1755.5</v>
      </c>
      <c r="AV19" s="53">
        <f t="shared" si="12"/>
        <v>11575.5</v>
      </c>
      <c r="AW19" s="53">
        <f t="shared" si="12"/>
        <v>11655.5</v>
      </c>
      <c r="AX19" s="53">
        <f t="shared" si="12"/>
        <v>11338.5</v>
      </c>
      <c r="AY19" s="60">
        <f t="shared" si="12"/>
        <v>99</v>
      </c>
      <c r="AZ19" s="49">
        <f t="shared" si="12"/>
        <v>98</v>
      </c>
      <c r="BA19" s="61">
        <f t="shared" si="12"/>
        <v>98</v>
      </c>
      <c r="BB19" s="54">
        <f>IF($O19="M-Sa",(AV19*5)+AW19+AX19,IF($O19="m-su",(AV19*5)+AW19+AX19,IF($O19="M-F",(AV19*5),IF($O19="T-Su",(AV19*4)+AW19+AX19,IF($O19="T-Sa",(AV19*4)+AW19,IF($O19="T-F",(AV19*4),IF($O19="Su-F",(AV19*5)+AW19+AX19,(AV19*5+AW19+AX19))))))))</f>
        <v>80871.5</v>
      </c>
      <c r="BC19" s="54">
        <f t="shared" si="11"/>
        <v>11553.071428571429</v>
      </c>
      <c r="BD19" s="62">
        <f t="shared" si="4"/>
        <v>691</v>
      </c>
      <c r="BF19" s="330"/>
    </row>
    <row r="20" spans="1:61" s="56" customFormat="1">
      <c r="A20" s="57" t="s">
        <v>92</v>
      </c>
      <c r="B20" s="34" t="s">
        <v>35</v>
      </c>
      <c r="C20" s="34" t="s">
        <v>79</v>
      </c>
      <c r="D20" s="35" t="s">
        <v>80</v>
      </c>
      <c r="E20" s="58" t="s">
        <v>93</v>
      </c>
      <c r="F20" s="37">
        <v>6723</v>
      </c>
      <c r="G20" s="34" t="s">
        <v>82</v>
      </c>
      <c r="H20" s="34" t="s">
        <v>47</v>
      </c>
      <c r="I20" s="34">
        <v>7</v>
      </c>
      <c r="J20" s="34">
        <v>196</v>
      </c>
      <c r="K20" s="34">
        <f t="shared" si="0"/>
        <v>1372</v>
      </c>
      <c r="L20" s="38" t="s">
        <v>83</v>
      </c>
      <c r="M20" s="38" t="s">
        <v>42</v>
      </c>
      <c r="N20" s="34" t="s">
        <v>64</v>
      </c>
      <c r="O20" s="58" t="s">
        <v>54</v>
      </c>
      <c r="P20" s="39" t="s">
        <v>77</v>
      </c>
      <c r="Q20" s="59" t="s">
        <v>84</v>
      </c>
      <c r="R20" s="68"/>
      <c r="S20" s="44"/>
      <c r="T20" s="69"/>
      <c r="U20" s="44"/>
      <c r="V20" s="44"/>
      <c r="W20" s="44"/>
      <c r="X20" s="68"/>
      <c r="Y20" s="44"/>
      <c r="Z20" s="69"/>
      <c r="AA20" s="44"/>
      <c r="AB20" s="44"/>
      <c r="AC20" s="44"/>
      <c r="AD20" s="70"/>
      <c r="AE20" s="48"/>
      <c r="AF20" s="71"/>
      <c r="AG20" s="48"/>
      <c r="AH20" s="48"/>
      <c r="AI20" s="48"/>
      <c r="AJ20" s="70">
        <f t="shared" si="8"/>
        <v>0</v>
      </c>
      <c r="AK20" s="48">
        <f t="shared" si="8"/>
        <v>0</v>
      </c>
      <c r="AL20" s="71">
        <f t="shared" si="8"/>
        <v>0</v>
      </c>
      <c r="AM20" s="70"/>
      <c r="AN20" s="48"/>
      <c r="AO20" s="71"/>
      <c r="AP20" s="49">
        <v>1132</v>
      </c>
      <c r="AQ20" s="49">
        <v>0</v>
      </c>
      <c r="AR20" s="49">
        <v>0</v>
      </c>
      <c r="AS20" s="60">
        <v>0</v>
      </c>
      <c r="AT20" s="49">
        <v>0</v>
      </c>
      <c r="AU20" s="61">
        <v>0</v>
      </c>
      <c r="AV20" s="53">
        <f>AP20+AS20</f>
        <v>1132</v>
      </c>
      <c r="AW20" s="53">
        <f>AQ20+AT20</f>
        <v>0</v>
      </c>
      <c r="AX20" s="53">
        <f>AR20+AU20</f>
        <v>0</v>
      </c>
      <c r="AY20" s="60"/>
      <c r="AZ20" s="49"/>
      <c r="BA20" s="61"/>
      <c r="BB20" s="54">
        <f>IF($O20="M-Sa",(AV20*5)+AW20+AX20,IF($O20="m-su",(AV20*5)+AW20+AX20,IF($O20="M-F",(AV20*5),IF($O20="T-Su",(AV20*4)+AW20+AX20,IF($O20="T-Sa",(AV20*4)+AW20,IF($O20="T-F",(AV20*4),IF($O20="Su-F",(AV20*5)+AW20+AX20,(AV20*5+AW20+AX20))))))))</f>
        <v>5660</v>
      </c>
      <c r="BC20" s="54">
        <f t="shared" si="11"/>
        <v>1132</v>
      </c>
      <c r="BD20" s="62">
        <f t="shared" si="4"/>
        <v>0</v>
      </c>
      <c r="BF20" s="330" t="s">
        <v>554</v>
      </c>
      <c r="BH20" s="56" t="s">
        <v>85</v>
      </c>
    </row>
    <row r="21" spans="1:61" s="73" customFormat="1">
      <c r="A21" s="350" t="s">
        <v>94</v>
      </c>
      <c r="B21" s="75" t="s">
        <v>35</v>
      </c>
      <c r="C21" s="75" t="s">
        <v>79</v>
      </c>
      <c r="D21" s="76" t="s">
        <v>80</v>
      </c>
      <c r="E21" s="77" t="s">
        <v>95</v>
      </c>
      <c r="F21" s="78">
        <v>98021</v>
      </c>
      <c r="G21" s="75" t="s">
        <v>63</v>
      </c>
      <c r="H21" s="75" t="s">
        <v>40</v>
      </c>
      <c r="I21" s="75">
        <v>10</v>
      </c>
      <c r="J21" s="75">
        <v>301</v>
      </c>
      <c r="K21" s="75">
        <f t="shared" si="0"/>
        <v>3010</v>
      </c>
      <c r="L21" s="79"/>
      <c r="M21" s="38" t="s">
        <v>42</v>
      </c>
      <c r="N21" s="75" t="s">
        <v>43</v>
      </c>
      <c r="O21" s="77" t="s">
        <v>44</v>
      </c>
      <c r="P21" s="80" t="s">
        <v>88</v>
      </c>
      <c r="Q21" s="81" t="s">
        <v>46</v>
      </c>
      <c r="R21" s="89">
        <f>((4970*4)+4728)/5</f>
        <v>4921.6000000000004</v>
      </c>
      <c r="S21" s="90">
        <v>4970</v>
      </c>
      <c r="T21" s="91"/>
      <c r="U21" s="90">
        <v>5216</v>
      </c>
      <c r="V21" s="90">
        <v>5216</v>
      </c>
      <c r="W21" s="296">
        <v>29430</v>
      </c>
      <c r="X21" s="89">
        <f>R21+U21</f>
        <v>10137.6</v>
      </c>
      <c r="Y21" s="90">
        <f>S21+V21</f>
        <v>10186</v>
      </c>
      <c r="Z21" s="296">
        <f>T21+W21</f>
        <v>29430</v>
      </c>
      <c r="AA21" s="90"/>
      <c r="AB21" s="90"/>
      <c r="AC21" s="90"/>
      <c r="AD21" s="92">
        <v>4398</v>
      </c>
      <c r="AE21" s="93">
        <f>((4453*4)+4178)/5</f>
        <v>4398</v>
      </c>
      <c r="AF21" s="94"/>
      <c r="AG21" s="93">
        <v>570</v>
      </c>
      <c r="AH21" s="93">
        <v>570</v>
      </c>
      <c r="AI21" s="296">
        <v>29892</v>
      </c>
      <c r="AJ21" s="92">
        <f t="shared" si="8"/>
        <v>4968</v>
      </c>
      <c r="AK21" s="93">
        <f t="shared" si="8"/>
        <v>4968</v>
      </c>
      <c r="AL21" s="297">
        <f t="shared" si="8"/>
        <v>29892</v>
      </c>
      <c r="AM21" s="92"/>
      <c r="AN21" s="93"/>
      <c r="AO21" s="94"/>
      <c r="AP21" s="83">
        <f>AVERAGE(R21,AD21)</f>
        <v>4659.8</v>
      </c>
      <c r="AQ21" s="83">
        <f>AVERAGE(S21,AE21)</f>
        <v>4684</v>
      </c>
      <c r="AR21" s="83"/>
      <c r="AS21" s="82">
        <f t="shared" ref="AS21:AX21" si="13">AVERAGE(U21,AG21)</f>
        <v>2893</v>
      </c>
      <c r="AT21" s="83">
        <f t="shared" si="13"/>
        <v>2893</v>
      </c>
      <c r="AU21" s="297">
        <f t="shared" si="13"/>
        <v>29661</v>
      </c>
      <c r="AV21" s="85">
        <f t="shared" si="13"/>
        <v>7552.8</v>
      </c>
      <c r="AW21" s="85">
        <f t="shared" si="13"/>
        <v>7577</v>
      </c>
      <c r="AX21" s="296">
        <f t="shared" si="13"/>
        <v>29661</v>
      </c>
      <c r="AY21" s="82"/>
      <c r="AZ21" s="83"/>
      <c r="BA21" s="84"/>
      <c r="BB21" s="86">
        <f>(AV21*5)+AW21+AX21</f>
        <v>75002</v>
      </c>
      <c r="BC21" s="86">
        <f t="shared" si="11"/>
        <v>12500.333333333334</v>
      </c>
      <c r="BD21" s="87">
        <f t="shared" si="4"/>
        <v>0</v>
      </c>
      <c r="BF21" s="347"/>
    </row>
    <row r="22" spans="1:61" s="73" customFormat="1">
      <c r="A22" s="57" t="s">
        <v>472</v>
      </c>
      <c r="B22" s="34" t="s">
        <v>35</v>
      </c>
      <c r="C22" s="34" t="s">
        <v>79</v>
      </c>
      <c r="D22" s="35" t="s">
        <v>80</v>
      </c>
      <c r="E22" s="58" t="s">
        <v>95</v>
      </c>
      <c r="F22" s="37">
        <v>98021</v>
      </c>
      <c r="G22" s="34" t="s">
        <v>63</v>
      </c>
      <c r="H22" s="34" t="s">
        <v>47</v>
      </c>
      <c r="I22" s="34">
        <v>7</v>
      </c>
      <c r="J22" s="34">
        <v>196</v>
      </c>
      <c r="K22" s="34">
        <f t="shared" si="0"/>
        <v>1372</v>
      </c>
      <c r="L22" s="34"/>
      <c r="M22" s="34" t="s">
        <v>53</v>
      </c>
      <c r="N22" s="34" t="s">
        <v>43</v>
      </c>
      <c r="O22" s="58" t="s">
        <v>104</v>
      </c>
      <c r="P22" s="39" t="s">
        <v>77</v>
      </c>
      <c r="Q22" s="59" t="s">
        <v>114</v>
      </c>
      <c r="R22" s="283"/>
      <c r="S22" s="284"/>
      <c r="T22" s="285"/>
      <c r="U22" s="284"/>
      <c r="V22" s="284"/>
      <c r="W22" s="284"/>
      <c r="X22" s="283"/>
      <c r="Y22" s="284"/>
      <c r="Z22" s="285"/>
      <c r="AA22" s="284"/>
      <c r="AB22" s="284"/>
      <c r="AC22" s="284"/>
      <c r="AD22" s="286"/>
      <c r="AE22" s="287"/>
      <c r="AF22" s="288"/>
      <c r="AG22" s="287"/>
      <c r="AH22" s="287"/>
      <c r="AI22" s="287"/>
      <c r="AJ22" s="286"/>
      <c r="AK22" s="287"/>
      <c r="AL22" s="288"/>
      <c r="AM22" s="286"/>
      <c r="AN22" s="287"/>
      <c r="AO22" s="288"/>
      <c r="AP22" s="34"/>
      <c r="AQ22" s="34"/>
      <c r="AR22" s="34"/>
      <c r="AS22" s="60">
        <v>4300</v>
      </c>
      <c r="AT22" s="49">
        <v>0</v>
      </c>
      <c r="AU22" s="61">
        <v>0</v>
      </c>
      <c r="AV22" s="53">
        <f>AP22+AS22</f>
        <v>4300</v>
      </c>
      <c r="AW22" s="53">
        <f>AQ22+AT22</f>
        <v>0</v>
      </c>
      <c r="AX22" s="53"/>
      <c r="AY22" s="35"/>
      <c r="AZ22" s="34"/>
      <c r="BA22" s="64"/>
      <c r="BB22" s="54">
        <f>IF($O22="M-Sa",(AV22*5)+AW22+AX22,IF($O22="m-su",(AV22*5)+AW22+AX22,IF($O22="M-F",(AV22*5),IF($O22="T-Su",(AV22*4)+AW22+AX22,IF($O22="T-Sa",(AV22*4)+AW22,IF($O22="T-F",(AV22*4),IF($O22="Su-F",(AV22*5)+AW22+AX22,(AV22*5+AW22+AX22))))))))</f>
        <v>17200</v>
      </c>
      <c r="BC22" s="54">
        <f t="shared" si="11"/>
        <v>4300</v>
      </c>
      <c r="BD22" s="62">
        <f t="shared" si="4"/>
        <v>0</v>
      </c>
      <c r="BE22" s="387"/>
      <c r="BF22" s="330" t="s">
        <v>578</v>
      </c>
      <c r="BG22" s="66">
        <v>2006</v>
      </c>
      <c r="BH22" s="103"/>
      <c r="BI22" s="56"/>
    </row>
    <row r="23" spans="1:61" s="73" customFormat="1">
      <c r="A23" s="57" t="s">
        <v>96</v>
      </c>
      <c r="B23" s="34" t="s">
        <v>35</v>
      </c>
      <c r="C23" s="34" t="s">
        <v>79</v>
      </c>
      <c r="D23" s="35" t="s">
        <v>80</v>
      </c>
      <c r="E23" s="58" t="s">
        <v>97</v>
      </c>
      <c r="F23" s="37">
        <v>42361</v>
      </c>
      <c r="G23" s="34" t="s">
        <v>82</v>
      </c>
      <c r="H23" s="34" t="s">
        <v>40</v>
      </c>
      <c r="I23" s="34">
        <v>10</v>
      </c>
      <c r="J23" s="34">
        <v>301</v>
      </c>
      <c r="K23" s="34">
        <f t="shared" si="0"/>
        <v>3010</v>
      </c>
      <c r="L23" s="38"/>
      <c r="M23" s="38" t="s">
        <v>42</v>
      </c>
      <c r="N23" s="34" t="s">
        <v>43</v>
      </c>
      <c r="O23" s="58" t="s">
        <v>49</v>
      </c>
      <c r="P23" s="39" t="s">
        <v>91</v>
      </c>
      <c r="Q23" s="59" t="s">
        <v>46</v>
      </c>
      <c r="R23" s="68">
        <f>6012-351</f>
        <v>5661</v>
      </c>
      <c r="S23" s="44">
        <f>5921-348</f>
        <v>5573</v>
      </c>
      <c r="T23" s="69">
        <f>5579-306</f>
        <v>5273</v>
      </c>
      <c r="U23" s="44">
        <f>351+106</f>
        <v>457</v>
      </c>
      <c r="V23" s="44">
        <f>348+106</f>
        <v>454</v>
      </c>
      <c r="W23" s="44">
        <f>306+106</f>
        <v>412</v>
      </c>
      <c r="X23" s="68">
        <f t="shared" ref="X23:Z25" si="14">R23+U23</f>
        <v>6118</v>
      </c>
      <c r="Y23" s="44">
        <f t="shared" si="14"/>
        <v>6027</v>
      </c>
      <c r="Z23" s="69">
        <f t="shared" si="14"/>
        <v>5685</v>
      </c>
      <c r="AA23" s="44"/>
      <c r="AB23" s="44"/>
      <c r="AC23" s="44"/>
      <c r="AD23" s="70">
        <v>5563</v>
      </c>
      <c r="AE23" s="48">
        <v>5437</v>
      </c>
      <c r="AF23" s="71">
        <v>5001</v>
      </c>
      <c r="AG23" s="48">
        <v>564</v>
      </c>
      <c r="AH23" s="48">
        <v>557</v>
      </c>
      <c r="AI23" s="48">
        <v>547</v>
      </c>
      <c r="AJ23" s="70">
        <f t="shared" ref="AJ23:AL28" si="15">AD23+AG23</f>
        <v>6127</v>
      </c>
      <c r="AK23" s="48">
        <f t="shared" si="15"/>
        <v>5994</v>
      </c>
      <c r="AL23" s="71">
        <f t="shared" si="15"/>
        <v>5548</v>
      </c>
      <c r="AM23" s="70">
        <v>79</v>
      </c>
      <c r="AN23" s="48">
        <v>78</v>
      </c>
      <c r="AO23" s="71">
        <v>75</v>
      </c>
      <c r="AP23" s="49">
        <f t="shared" ref="AP23:BA25" si="16">AVERAGE(R23,AD23)</f>
        <v>5612</v>
      </c>
      <c r="AQ23" s="49">
        <f t="shared" si="16"/>
        <v>5505</v>
      </c>
      <c r="AR23" s="49">
        <f t="shared" si="16"/>
        <v>5137</v>
      </c>
      <c r="AS23" s="60">
        <f t="shared" si="16"/>
        <v>510.5</v>
      </c>
      <c r="AT23" s="49">
        <f t="shared" si="16"/>
        <v>505.5</v>
      </c>
      <c r="AU23" s="61">
        <f t="shared" si="16"/>
        <v>479.5</v>
      </c>
      <c r="AV23" s="53">
        <f t="shared" si="16"/>
        <v>6122.5</v>
      </c>
      <c r="AW23" s="53">
        <f t="shared" si="16"/>
        <v>6010.5</v>
      </c>
      <c r="AX23" s="53">
        <f t="shared" si="16"/>
        <v>5616.5</v>
      </c>
      <c r="AY23" s="60">
        <f t="shared" si="16"/>
        <v>79</v>
      </c>
      <c r="AZ23" s="49">
        <f t="shared" si="16"/>
        <v>78</v>
      </c>
      <c r="BA23" s="61">
        <f t="shared" si="16"/>
        <v>75</v>
      </c>
      <c r="BB23" s="54">
        <f>IF($O23="M-Sa",(AV23*5)+AW23+AX23,IF($O23="m-su",(AV23*5)+AW23+AX23,IF($O23="M-F",(AV23*5),IF($O23="T-Su",(AV23*4)+AW23+AX23,IF($O23="T-Sa",(AV23*4)+AW23,IF($O23="T-F",(AV23*4),IF($O23="Su-F",(AV23*5)+AW23+AX23,(AV23*5+AW23+AX23))))))))</f>
        <v>42239.5</v>
      </c>
      <c r="BC23" s="54">
        <f t="shared" si="11"/>
        <v>6034.2142857142853</v>
      </c>
      <c r="BD23" s="62">
        <f t="shared" si="4"/>
        <v>548</v>
      </c>
      <c r="BE23" s="56"/>
      <c r="BF23" s="330"/>
      <c r="BG23" s="56"/>
      <c r="BH23" s="56"/>
      <c r="BI23" s="56"/>
    </row>
    <row r="24" spans="1:61" s="56" customFormat="1">
      <c r="A24" s="57" t="s">
        <v>98</v>
      </c>
      <c r="B24" s="34" t="s">
        <v>35</v>
      </c>
      <c r="C24" s="34" t="s">
        <v>79</v>
      </c>
      <c r="D24" s="35" t="s">
        <v>80</v>
      </c>
      <c r="E24" s="58" t="s">
        <v>99</v>
      </c>
      <c r="F24" s="37">
        <v>25465</v>
      </c>
      <c r="G24" s="34" t="s">
        <v>82</v>
      </c>
      <c r="H24" s="34" t="s">
        <v>40</v>
      </c>
      <c r="I24" s="34">
        <v>10</v>
      </c>
      <c r="J24" s="34">
        <v>301</v>
      </c>
      <c r="K24" s="34">
        <f t="shared" si="0"/>
        <v>3010</v>
      </c>
      <c r="L24" s="38"/>
      <c r="M24" s="38" t="s">
        <v>42</v>
      </c>
      <c r="N24" s="34" t="s">
        <v>64</v>
      </c>
      <c r="O24" s="58" t="s">
        <v>54</v>
      </c>
      <c r="P24" s="39" t="s">
        <v>88</v>
      </c>
      <c r="Q24" s="59" t="s">
        <v>46</v>
      </c>
      <c r="R24" s="68">
        <v>3190</v>
      </c>
      <c r="S24" s="44"/>
      <c r="T24" s="69"/>
      <c r="U24" s="44">
        <v>17</v>
      </c>
      <c r="V24" s="44"/>
      <c r="W24" s="44"/>
      <c r="X24" s="68">
        <f t="shared" si="14"/>
        <v>3207</v>
      </c>
      <c r="Y24" s="44">
        <f t="shared" si="14"/>
        <v>0</v>
      </c>
      <c r="Z24" s="69">
        <f t="shared" si="14"/>
        <v>0</v>
      </c>
      <c r="AA24" s="44"/>
      <c r="AB24" s="44"/>
      <c r="AC24" s="44"/>
      <c r="AD24" s="70">
        <f>((3054*3)+2880+2884)/5</f>
        <v>2985.2</v>
      </c>
      <c r="AE24" s="48"/>
      <c r="AF24" s="71"/>
      <c r="AG24" s="48">
        <f>((60*3)+7457+9331)/5</f>
        <v>3393.6</v>
      </c>
      <c r="AH24" s="48"/>
      <c r="AI24" s="48"/>
      <c r="AJ24" s="70">
        <f t="shared" si="15"/>
        <v>6378.7999999999993</v>
      </c>
      <c r="AK24" s="48">
        <f t="shared" si="15"/>
        <v>0</v>
      </c>
      <c r="AL24" s="71">
        <f t="shared" si="15"/>
        <v>0</v>
      </c>
      <c r="AM24" s="70"/>
      <c r="AN24" s="48"/>
      <c r="AO24" s="71"/>
      <c r="AP24" s="49">
        <f>AVERAGE(R24,AD24)</f>
        <v>3087.6</v>
      </c>
      <c r="AQ24" s="49"/>
      <c r="AR24" s="49"/>
      <c r="AS24" s="60">
        <f>AVERAGE(U24,AG24)</f>
        <v>1705.3</v>
      </c>
      <c r="AT24" s="49"/>
      <c r="AU24" s="61"/>
      <c r="AV24" s="53">
        <f t="shared" si="16"/>
        <v>4792.8999999999996</v>
      </c>
      <c r="AW24" s="53">
        <f t="shared" si="16"/>
        <v>0</v>
      </c>
      <c r="AX24" s="53">
        <f t="shared" si="16"/>
        <v>0</v>
      </c>
      <c r="AY24" s="60"/>
      <c r="AZ24" s="49"/>
      <c r="BA24" s="61"/>
      <c r="BB24" s="54">
        <f>IF($O24="M-Sa",(AV24*5)+AW24+AX24,IF($O24="m-su",(AV24*5)+AW24+AX24,IF($O24="M-F",(AV24*5),IF($O24="T-Su",(AV24*4)+AW24+AX24,IF($O24="T-Sa",(AV24*4)+AW24,IF($O24="T-F",(AV24*4),IF($O24="Su-F",(AV24*5)+AW24+AX24,(AV24*5+AW24+AX24))))))))</f>
        <v>23964.5</v>
      </c>
      <c r="BC24" s="54">
        <f t="shared" si="11"/>
        <v>4792.8999999999996</v>
      </c>
      <c r="BD24" s="62">
        <f t="shared" si="4"/>
        <v>0</v>
      </c>
      <c r="BF24" s="330"/>
    </row>
    <row r="25" spans="1:61" s="97" customFormat="1">
      <c r="A25" s="350" t="s">
        <v>100</v>
      </c>
      <c r="B25" s="75" t="s">
        <v>35</v>
      </c>
      <c r="C25" s="75" t="s">
        <v>79</v>
      </c>
      <c r="D25" s="76" t="s">
        <v>80</v>
      </c>
      <c r="E25" s="77" t="s">
        <v>101</v>
      </c>
      <c r="F25" s="78">
        <v>84232</v>
      </c>
      <c r="G25" s="75" t="s">
        <v>63</v>
      </c>
      <c r="H25" s="75" t="s">
        <v>40</v>
      </c>
      <c r="I25" s="75">
        <v>10</v>
      </c>
      <c r="J25" s="75">
        <v>301</v>
      </c>
      <c r="K25" s="75">
        <f t="shared" si="0"/>
        <v>3010</v>
      </c>
      <c r="L25" s="79"/>
      <c r="M25" s="38" t="s">
        <v>42</v>
      </c>
      <c r="N25" s="75" t="s">
        <v>43</v>
      </c>
      <c r="O25" s="77" t="s">
        <v>44</v>
      </c>
      <c r="P25" s="80" t="s">
        <v>88</v>
      </c>
      <c r="Q25" s="81" t="s">
        <v>46</v>
      </c>
      <c r="R25" s="89">
        <f>((9820*3)+9878+10285)/5</f>
        <v>9924.6</v>
      </c>
      <c r="S25" s="90">
        <v>10285</v>
      </c>
      <c r="T25" s="91"/>
      <c r="U25" s="90"/>
      <c r="V25" s="90"/>
      <c r="W25" s="90">
        <v>14108</v>
      </c>
      <c r="X25" s="89">
        <f t="shared" si="14"/>
        <v>9924.6</v>
      </c>
      <c r="Y25" s="90">
        <f t="shared" si="14"/>
        <v>10285</v>
      </c>
      <c r="Z25" s="91">
        <f t="shared" si="14"/>
        <v>14108</v>
      </c>
      <c r="AA25" s="90"/>
      <c r="AB25" s="90"/>
      <c r="AC25" s="90"/>
      <c r="AD25" s="92">
        <f>((9278*3)+9429+9766)/5</f>
        <v>9405.7999999999993</v>
      </c>
      <c r="AE25" s="93">
        <v>9766</v>
      </c>
      <c r="AF25" s="94"/>
      <c r="AG25" s="93">
        <v>82</v>
      </c>
      <c r="AH25" s="93">
        <v>82</v>
      </c>
      <c r="AI25" s="93">
        <v>14352</v>
      </c>
      <c r="AJ25" s="92">
        <f t="shared" si="15"/>
        <v>9487.7999999999993</v>
      </c>
      <c r="AK25" s="93">
        <f t="shared" si="15"/>
        <v>9848</v>
      </c>
      <c r="AL25" s="94">
        <f t="shared" si="15"/>
        <v>14352</v>
      </c>
      <c r="AM25" s="92">
        <f>((149*3)+156+155)/5</f>
        <v>151.6</v>
      </c>
      <c r="AN25" s="93">
        <v>155</v>
      </c>
      <c r="AO25" s="94"/>
      <c r="AP25" s="83">
        <f>AVERAGE(R25,AD25)</f>
        <v>9665.2000000000007</v>
      </c>
      <c r="AQ25" s="83">
        <f>AVERAGE(S25,AE25)</f>
        <v>10025.5</v>
      </c>
      <c r="AR25" s="83"/>
      <c r="AS25" s="82">
        <f>AVERAGE(U25,AG25)</f>
        <v>82</v>
      </c>
      <c r="AT25" s="83">
        <f>AVERAGE(V25,AH25)</f>
        <v>82</v>
      </c>
      <c r="AU25" s="297">
        <f>AVERAGE(W25,AI25)</f>
        <v>14230</v>
      </c>
      <c r="AV25" s="85">
        <f t="shared" si="16"/>
        <v>9706.2000000000007</v>
      </c>
      <c r="AW25" s="85">
        <f t="shared" si="16"/>
        <v>10066.5</v>
      </c>
      <c r="AX25" s="296">
        <f t="shared" si="16"/>
        <v>14230</v>
      </c>
      <c r="AY25" s="82">
        <f>AVERAGE(AA25,AM25)</f>
        <v>151.6</v>
      </c>
      <c r="AZ25" s="83">
        <f>AVERAGE(AB25,AN25)</f>
        <v>155</v>
      </c>
      <c r="BA25" s="84"/>
      <c r="BB25" s="86">
        <f>(AV25*5)+AW25+AX25</f>
        <v>72827.5</v>
      </c>
      <c r="BC25" s="86">
        <f t="shared" si="11"/>
        <v>12137.916666666666</v>
      </c>
      <c r="BD25" s="87">
        <f t="shared" si="4"/>
        <v>913</v>
      </c>
      <c r="BE25" s="73"/>
      <c r="BF25" s="347"/>
      <c r="BG25" s="73"/>
      <c r="BH25" s="73"/>
      <c r="BI25" s="73"/>
    </row>
    <row r="26" spans="1:61" s="56" customFormat="1">
      <c r="A26" s="57" t="s">
        <v>102</v>
      </c>
      <c r="B26" s="34" t="s">
        <v>35</v>
      </c>
      <c r="C26" s="34" t="s">
        <v>79</v>
      </c>
      <c r="D26" s="35" t="s">
        <v>80</v>
      </c>
      <c r="E26" s="58" t="s">
        <v>103</v>
      </c>
      <c r="F26" s="37">
        <v>9276</v>
      </c>
      <c r="G26" s="34" t="s">
        <v>82</v>
      </c>
      <c r="H26" s="34" t="s">
        <v>47</v>
      </c>
      <c r="I26" s="34">
        <v>7</v>
      </c>
      <c r="J26" s="34">
        <v>192</v>
      </c>
      <c r="K26" s="34">
        <f t="shared" si="0"/>
        <v>1344</v>
      </c>
      <c r="L26" s="38"/>
      <c r="M26" s="38" t="s">
        <v>42</v>
      </c>
      <c r="N26" s="34" t="s">
        <v>64</v>
      </c>
      <c r="O26" s="58" t="s">
        <v>104</v>
      </c>
      <c r="P26" s="39" t="s">
        <v>77</v>
      </c>
      <c r="Q26" s="59" t="s">
        <v>84</v>
      </c>
      <c r="R26" s="68"/>
      <c r="S26" s="44"/>
      <c r="T26" s="69"/>
      <c r="U26" s="44"/>
      <c r="V26" s="44"/>
      <c r="W26" s="44"/>
      <c r="X26" s="68"/>
      <c r="Y26" s="44"/>
      <c r="Z26" s="69"/>
      <c r="AA26" s="44"/>
      <c r="AB26" s="44"/>
      <c r="AC26" s="44"/>
      <c r="AD26" s="70"/>
      <c r="AE26" s="48"/>
      <c r="AF26" s="71"/>
      <c r="AG26" s="48"/>
      <c r="AH26" s="48"/>
      <c r="AI26" s="48"/>
      <c r="AJ26" s="70">
        <f t="shared" si="15"/>
        <v>0</v>
      </c>
      <c r="AK26" s="48">
        <f t="shared" si="15"/>
        <v>0</v>
      </c>
      <c r="AL26" s="71">
        <f t="shared" si="15"/>
        <v>0</v>
      </c>
      <c r="AM26" s="70"/>
      <c r="AN26" s="48"/>
      <c r="AO26" s="71"/>
      <c r="AP26" s="49">
        <v>2851</v>
      </c>
      <c r="AQ26" s="49">
        <v>0</v>
      </c>
      <c r="AR26" s="49">
        <v>0</v>
      </c>
      <c r="AS26" s="60">
        <v>11</v>
      </c>
      <c r="AT26" s="49">
        <v>0</v>
      </c>
      <c r="AU26" s="61">
        <v>0</v>
      </c>
      <c r="AV26" s="53">
        <f>AP26+AS26</f>
        <v>2862</v>
      </c>
      <c r="AW26" s="53">
        <f>AQ26+AT26</f>
        <v>0</v>
      </c>
      <c r="AX26" s="53">
        <f>AR26+AU26</f>
        <v>0</v>
      </c>
      <c r="AY26" s="60"/>
      <c r="AZ26" s="49"/>
      <c r="BA26" s="61"/>
      <c r="BB26" s="54">
        <f t="shared" ref="BB26:BB49" si="17">IF($O26="M-Sa",(AV26*5)+AW26+AX26,IF($O26="m-su",(AV26*5)+AW26+AX26,IF($O26="M-F",(AV26*5),IF($O26="T-Su",(AV26*4)+AW26+AX26,IF($O26="T-Sa",(AV26*4)+AW26,IF($O26="T-F",(AV26*4),IF($O26="Su-F",(AV26*5)+AW26+AX26,(AV26*5+AW26+AX26))))))))</f>
        <v>11448</v>
      </c>
      <c r="BC26" s="54">
        <f t="shared" ref="BC26:BC49" si="18">IF($O26="M-Sa",(BB26/6),IF($O26="m-su",(BB26/7),IF($O26="M-F",(BB26/5),IF($O26="T-Su",(BB26/6),IF($O26="T-Sa",(BB26/5),IF($O26="T-F",(BB26/4),IF($O26="Su-F",(BB26/6),(BB26/7))))))))</f>
        <v>2862</v>
      </c>
      <c r="BD26" s="62">
        <f t="shared" si="4"/>
        <v>0</v>
      </c>
      <c r="BF26" s="330" t="s">
        <v>556</v>
      </c>
      <c r="BI26" s="101"/>
    </row>
    <row r="27" spans="1:61" s="73" customFormat="1">
      <c r="A27" s="57" t="s">
        <v>105</v>
      </c>
      <c r="B27" s="34" t="s">
        <v>35</v>
      </c>
      <c r="C27" s="34" t="s">
        <v>79</v>
      </c>
      <c r="D27" s="35" t="s">
        <v>80</v>
      </c>
      <c r="E27" s="58" t="s">
        <v>106</v>
      </c>
      <c r="F27" s="37">
        <v>2463700</v>
      </c>
      <c r="G27" s="34" t="s">
        <v>39</v>
      </c>
      <c r="H27" s="34" t="s">
        <v>47</v>
      </c>
      <c r="I27" s="34">
        <v>9</v>
      </c>
      <c r="J27" s="34">
        <v>165</v>
      </c>
      <c r="K27" s="34">
        <f t="shared" si="0"/>
        <v>1485</v>
      </c>
      <c r="L27" s="38" t="s">
        <v>107</v>
      </c>
      <c r="M27" s="38" t="s">
        <v>42</v>
      </c>
      <c r="N27" s="34" t="s">
        <v>43</v>
      </c>
      <c r="O27" s="58" t="s">
        <v>108</v>
      </c>
      <c r="P27" s="39" t="s">
        <v>45</v>
      </c>
      <c r="Q27" s="59" t="s">
        <v>46</v>
      </c>
      <c r="R27" s="68">
        <f>136068-16225</f>
        <v>119843</v>
      </c>
      <c r="S27" s="44"/>
      <c r="T27" s="69">
        <f>144605-11602</f>
        <v>133003</v>
      </c>
      <c r="U27" s="44">
        <f>16225+3461</f>
        <v>19686</v>
      </c>
      <c r="V27" s="44"/>
      <c r="W27" s="44">
        <f>11602+4096</f>
        <v>15698</v>
      </c>
      <c r="X27" s="68">
        <f>R27+U27</f>
        <v>139529</v>
      </c>
      <c r="Y27" s="44"/>
      <c r="Z27" s="69">
        <f>T27+W27</f>
        <v>148701</v>
      </c>
      <c r="AA27" s="44"/>
      <c r="AB27" s="44"/>
      <c r="AC27" s="44"/>
      <c r="AD27" s="70">
        <v>77263</v>
      </c>
      <c r="AE27" s="48"/>
      <c r="AF27" s="71">
        <v>94746</v>
      </c>
      <c r="AG27" s="48">
        <v>59798</v>
      </c>
      <c r="AH27" s="48"/>
      <c r="AI27" s="48">
        <v>53973</v>
      </c>
      <c r="AJ27" s="70">
        <f t="shared" si="15"/>
        <v>137061</v>
      </c>
      <c r="AK27" s="48">
        <f t="shared" si="15"/>
        <v>0</v>
      </c>
      <c r="AL27" s="71">
        <f t="shared" si="15"/>
        <v>148719</v>
      </c>
      <c r="AM27" s="70">
        <v>49368</v>
      </c>
      <c r="AN27" s="48"/>
      <c r="AO27" s="71">
        <v>46174</v>
      </c>
      <c r="AP27" s="49">
        <f>AVERAGE(R27,AD27)</f>
        <v>98553</v>
      </c>
      <c r="AQ27" s="49"/>
      <c r="AR27" s="49">
        <f>AVERAGE(T27,AF27)</f>
        <v>113874.5</v>
      </c>
      <c r="AS27" s="60">
        <f>AVERAGE(U27,AG27)</f>
        <v>39742</v>
      </c>
      <c r="AT27" s="49"/>
      <c r="AU27" s="61">
        <f>AVERAGE(W27,AI27)</f>
        <v>34835.5</v>
      </c>
      <c r="AV27" s="53">
        <f>AVERAGE(X27,AJ27)</f>
        <v>138295</v>
      </c>
      <c r="AW27" s="53">
        <f>AVERAGE(Y27,AK27)</f>
        <v>0</v>
      </c>
      <c r="AX27" s="53">
        <f>AVERAGE(Z27,AL27)</f>
        <v>148710</v>
      </c>
      <c r="AY27" s="60">
        <f>AVERAGE(AA27,AM27)</f>
        <v>49368</v>
      </c>
      <c r="AZ27" s="49"/>
      <c r="BA27" s="61">
        <f>AVERAGE(AC27,AO27)</f>
        <v>46174</v>
      </c>
      <c r="BB27" s="54">
        <f t="shared" si="17"/>
        <v>840185</v>
      </c>
      <c r="BC27" s="54">
        <f t="shared" si="18"/>
        <v>140030.83333333334</v>
      </c>
      <c r="BD27" s="62">
        <f t="shared" si="4"/>
        <v>293014</v>
      </c>
      <c r="BE27" s="56"/>
      <c r="BF27" s="330"/>
      <c r="BG27" s="56"/>
      <c r="BH27" s="56"/>
      <c r="BI27" s="56"/>
    </row>
    <row r="28" spans="1:61" s="56" customFormat="1">
      <c r="A28" s="57" t="s">
        <v>109</v>
      </c>
      <c r="B28" s="34" t="s">
        <v>35</v>
      </c>
      <c r="C28" s="34" t="s">
        <v>79</v>
      </c>
      <c r="D28" s="35" t="s">
        <v>80</v>
      </c>
      <c r="E28" s="58" t="s">
        <v>106</v>
      </c>
      <c r="F28" s="37">
        <v>2463700</v>
      </c>
      <c r="G28" s="34" t="s">
        <v>39</v>
      </c>
      <c r="H28" s="34" t="s">
        <v>40</v>
      </c>
      <c r="I28" s="34">
        <v>10</v>
      </c>
      <c r="J28" s="34">
        <v>291</v>
      </c>
      <c r="K28" s="34">
        <f t="shared" si="0"/>
        <v>2910</v>
      </c>
      <c r="L28" s="38" t="s">
        <v>107</v>
      </c>
      <c r="M28" s="38" t="s">
        <v>42</v>
      </c>
      <c r="N28" s="34" t="s">
        <v>43</v>
      </c>
      <c r="O28" s="58" t="s">
        <v>44</v>
      </c>
      <c r="P28" s="39" t="s">
        <v>45</v>
      </c>
      <c r="Q28" s="59" t="s">
        <v>46</v>
      </c>
      <c r="R28" s="68">
        <f>156992-9764</f>
        <v>147228</v>
      </c>
      <c r="S28" s="44">
        <f>178579-10216</f>
        <v>168363</v>
      </c>
      <c r="T28" s="69"/>
      <c r="U28" s="44">
        <f>9764+5185</f>
        <v>14949</v>
      </c>
      <c r="V28" s="44">
        <f>10216+5534</f>
        <v>15750</v>
      </c>
      <c r="W28" s="44"/>
      <c r="X28" s="68">
        <f>R28+U28</f>
        <v>162177</v>
      </c>
      <c r="Y28" s="44">
        <f>S28+V28</f>
        <v>184113</v>
      </c>
      <c r="Z28" s="69"/>
      <c r="AA28" s="44"/>
      <c r="AB28" s="44"/>
      <c r="AC28" s="44"/>
      <c r="AD28" s="70">
        <v>94041</v>
      </c>
      <c r="AE28" s="48">
        <v>116685</v>
      </c>
      <c r="AF28" s="71"/>
      <c r="AG28" s="48">
        <v>60017</v>
      </c>
      <c r="AH28" s="48">
        <v>59446</v>
      </c>
      <c r="AI28" s="48"/>
      <c r="AJ28" s="70">
        <f t="shared" si="15"/>
        <v>154058</v>
      </c>
      <c r="AK28" s="48">
        <f t="shared" si="15"/>
        <v>176131</v>
      </c>
      <c r="AL28" s="71">
        <f t="shared" si="15"/>
        <v>0</v>
      </c>
      <c r="AM28" s="70">
        <v>57907</v>
      </c>
      <c r="AN28" s="48">
        <v>54219</v>
      </c>
      <c r="AO28" s="71"/>
      <c r="AP28" s="49">
        <f>AVERAGE(R28,AD28)</f>
        <v>120634.5</v>
      </c>
      <c r="AQ28" s="49">
        <f>AVERAGE(S28,AE28)</f>
        <v>142524</v>
      </c>
      <c r="AR28" s="49"/>
      <c r="AS28" s="60">
        <f>AVERAGE(U28,AG28)</f>
        <v>37483</v>
      </c>
      <c r="AT28" s="49">
        <f>AVERAGE(V28,AH28)</f>
        <v>37598</v>
      </c>
      <c r="AU28" s="61"/>
      <c r="AV28" s="53">
        <f>AVERAGE(X28,AJ28)</f>
        <v>158117.5</v>
      </c>
      <c r="AW28" s="53">
        <f>AVERAGE(Y28,AK28)</f>
        <v>180122</v>
      </c>
      <c r="AX28" s="53">
        <f>AVERAGE(Z28,AL28)</f>
        <v>0</v>
      </c>
      <c r="AY28" s="60">
        <f>AVERAGE(AA28,AM28)</f>
        <v>57907</v>
      </c>
      <c r="AZ28" s="49">
        <f>AVERAGE(AB28,AN28)</f>
        <v>54219</v>
      </c>
      <c r="BA28" s="61"/>
      <c r="BB28" s="54">
        <f t="shared" si="17"/>
        <v>970709.5</v>
      </c>
      <c r="BC28" s="54">
        <f t="shared" si="18"/>
        <v>161784.91666666666</v>
      </c>
      <c r="BD28" s="62">
        <f t="shared" si="4"/>
        <v>343754</v>
      </c>
      <c r="BF28" s="330"/>
    </row>
    <row r="29" spans="1:61" s="56" customFormat="1">
      <c r="A29" s="88" t="s">
        <v>473</v>
      </c>
      <c r="B29" s="75" t="s">
        <v>35</v>
      </c>
      <c r="C29" s="75" t="s">
        <v>79</v>
      </c>
      <c r="D29" s="76" t="s">
        <v>80</v>
      </c>
      <c r="E29" s="77" t="s">
        <v>106</v>
      </c>
      <c r="F29" s="78">
        <v>2463700</v>
      </c>
      <c r="G29" s="75" t="s">
        <v>39</v>
      </c>
      <c r="H29" s="75" t="s">
        <v>47</v>
      </c>
      <c r="I29" s="75">
        <v>6</v>
      </c>
      <c r="J29" s="75">
        <v>160</v>
      </c>
      <c r="K29" s="75">
        <f t="shared" si="0"/>
        <v>960</v>
      </c>
      <c r="L29" s="75"/>
      <c r="M29" s="34" t="s">
        <v>53</v>
      </c>
      <c r="N29" s="75" t="s">
        <v>43</v>
      </c>
      <c r="O29" s="77" t="s">
        <v>54</v>
      </c>
      <c r="P29" s="80" t="s">
        <v>50</v>
      </c>
      <c r="Q29" s="81" t="s">
        <v>51</v>
      </c>
      <c r="R29" s="289"/>
      <c r="S29" s="290"/>
      <c r="T29" s="291"/>
      <c r="U29" s="290"/>
      <c r="V29" s="290"/>
      <c r="W29" s="290"/>
      <c r="X29" s="289"/>
      <c r="Y29" s="290"/>
      <c r="Z29" s="291"/>
      <c r="AA29" s="290"/>
      <c r="AB29" s="290"/>
      <c r="AC29" s="290"/>
      <c r="AD29" s="292"/>
      <c r="AE29" s="293"/>
      <c r="AF29" s="294"/>
      <c r="AG29" s="293"/>
      <c r="AH29" s="293"/>
      <c r="AI29" s="293"/>
      <c r="AJ29" s="292"/>
      <c r="AK29" s="293"/>
      <c r="AL29" s="294"/>
      <c r="AM29" s="292"/>
      <c r="AN29" s="293"/>
      <c r="AO29" s="294"/>
      <c r="AP29" s="75"/>
      <c r="AQ29" s="75"/>
      <c r="AR29" s="75"/>
      <c r="AS29" s="82">
        <v>133103</v>
      </c>
      <c r="AT29" s="83"/>
      <c r="AU29" s="84"/>
      <c r="AV29" s="85">
        <f t="shared" ref="AV29:AW32" si="19">AP29+AS29</f>
        <v>133103</v>
      </c>
      <c r="AW29" s="85">
        <f t="shared" si="19"/>
        <v>0</v>
      </c>
      <c r="AX29" s="85"/>
      <c r="AY29" s="76"/>
      <c r="AZ29" s="75"/>
      <c r="BA29" s="98"/>
      <c r="BB29" s="86">
        <f t="shared" si="17"/>
        <v>665515</v>
      </c>
      <c r="BC29" s="86">
        <f t="shared" si="18"/>
        <v>133103</v>
      </c>
      <c r="BD29" s="87">
        <f t="shared" si="4"/>
        <v>0</v>
      </c>
      <c r="BE29" s="388"/>
      <c r="BF29" s="347"/>
      <c r="BG29" s="99">
        <v>2005</v>
      </c>
      <c r="BH29" s="398" t="s">
        <v>110</v>
      </c>
      <c r="BI29" s="73"/>
    </row>
    <row r="30" spans="1:61" s="56" customFormat="1">
      <c r="A30" s="57" t="s">
        <v>474</v>
      </c>
      <c r="B30" s="34" t="s">
        <v>112</v>
      </c>
      <c r="C30" s="34" t="s">
        <v>79</v>
      </c>
      <c r="D30" s="35" t="s">
        <v>80</v>
      </c>
      <c r="E30" s="58" t="s">
        <v>106</v>
      </c>
      <c r="F30" s="37">
        <v>2463700</v>
      </c>
      <c r="G30" s="34" t="s">
        <v>39</v>
      </c>
      <c r="H30" s="34" t="s">
        <v>40</v>
      </c>
      <c r="I30" s="34">
        <v>6</v>
      </c>
      <c r="J30" s="34"/>
      <c r="K30" s="34">
        <f t="shared" si="0"/>
        <v>0</v>
      </c>
      <c r="L30" s="34"/>
      <c r="M30" s="34" t="s">
        <v>53</v>
      </c>
      <c r="N30" s="34" t="s">
        <v>43</v>
      </c>
      <c r="O30" s="58" t="s">
        <v>49</v>
      </c>
      <c r="P30" s="39" t="s">
        <v>113</v>
      </c>
      <c r="Q30" s="59" t="s">
        <v>114</v>
      </c>
      <c r="R30" s="283"/>
      <c r="S30" s="284"/>
      <c r="T30" s="285"/>
      <c r="U30" s="284"/>
      <c r="V30" s="284"/>
      <c r="W30" s="284"/>
      <c r="X30" s="283"/>
      <c r="Y30" s="284"/>
      <c r="Z30" s="285"/>
      <c r="AA30" s="284"/>
      <c r="AB30" s="284"/>
      <c r="AC30" s="284"/>
      <c r="AD30" s="286"/>
      <c r="AE30" s="287"/>
      <c r="AF30" s="288"/>
      <c r="AG30" s="287"/>
      <c r="AH30" s="287"/>
      <c r="AI30" s="287"/>
      <c r="AJ30" s="286"/>
      <c r="AK30" s="287"/>
      <c r="AL30" s="288"/>
      <c r="AM30" s="286"/>
      <c r="AN30" s="287"/>
      <c r="AO30" s="288"/>
      <c r="AP30" s="34"/>
      <c r="AQ30" s="34"/>
      <c r="AR30" s="34"/>
      <c r="AS30" s="60">
        <v>6000</v>
      </c>
      <c r="AT30" s="49">
        <v>6000</v>
      </c>
      <c r="AU30" s="61">
        <v>6000</v>
      </c>
      <c r="AV30" s="53">
        <f t="shared" si="19"/>
        <v>6000</v>
      </c>
      <c r="AW30" s="53">
        <f t="shared" si="19"/>
        <v>6000</v>
      </c>
      <c r="AX30" s="53"/>
      <c r="AY30" s="35"/>
      <c r="AZ30" s="34"/>
      <c r="BA30" s="64"/>
      <c r="BB30" s="54">
        <f t="shared" si="17"/>
        <v>36000</v>
      </c>
      <c r="BC30" s="54">
        <f t="shared" si="18"/>
        <v>5142.8571428571431</v>
      </c>
      <c r="BD30" s="62">
        <f t="shared" si="4"/>
        <v>0</v>
      </c>
      <c r="BE30" s="387"/>
      <c r="BF30" s="58" t="s">
        <v>557</v>
      </c>
      <c r="BG30" s="66">
        <v>2005</v>
      </c>
      <c r="BH30" s="399" t="s">
        <v>115</v>
      </c>
    </row>
    <row r="31" spans="1:61" s="56" customFormat="1">
      <c r="A31" s="57" t="s">
        <v>116</v>
      </c>
      <c r="B31" s="34" t="s">
        <v>35</v>
      </c>
      <c r="C31" s="34" t="s">
        <v>79</v>
      </c>
      <c r="D31" s="35" t="s">
        <v>80</v>
      </c>
      <c r="E31" s="58" t="s">
        <v>106</v>
      </c>
      <c r="F31" s="37">
        <v>2463700</v>
      </c>
      <c r="G31" s="34" t="s">
        <v>39</v>
      </c>
      <c r="H31" s="34" t="s">
        <v>47</v>
      </c>
      <c r="I31" s="34">
        <v>6</v>
      </c>
      <c r="J31" s="34">
        <v>175</v>
      </c>
      <c r="K31" s="34">
        <f t="shared" si="0"/>
        <v>1050</v>
      </c>
      <c r="L31" s="34"/>
      <c r="M31" s="34" t="s">
        <v>53</v>
      </c>
      <c r="N31" s="34" t="s">
        <v>43</v>
      </c>
      <c r="O31" s="58" t="s">
        <v>54</v>
      </c>
      <c r="P31" s="39" t="s">
        <v>55</v>
      </c>
      <c r="Q31" s="59" t="s">
        <v>51</v>
      </c>
      <c r="R31" s="283"/>
      <c r="S31" s="284"/>
      <c r="T31" s="285"/>
      <c r="U31" s="284"/>
      <c r="V31" s="284"/>
      <c r="W31" s="284"/>
      <c r="X31" s="283"/>
      <c r="Y31" s="284"/>
      <c r="Z31" s="285"/>
      <c r="AA31" s="284"/>
      <c r="AB31" s="284"/>
      <c r="AC31" s="284"/>
      <c r="AD31" s="286"/>
      <c r="AE31" s="287"/>
      <c r="AF31" s="288"/>
      <c r="AG31" s="287"/>
      <c r="AH31" s="287"/>
      <c r="AI31" s="287"/>
      <c r="AJ31" s="286"/>
      <c r="AK31" s="287"/>
      <c r="AL31" s="288"/>
      <c r="AM31" s="286"/>
      <c r="AN31" s="287"/>
      <c r="AO31" s="288"/>
      <c r="AP31" s="34"/>
      <c r="AQ31" s="34"/>
      <c r="AR31" s="34"/>
      <c r="AS31" s="60">
        <v>130377</v>
      </c>
      <c r="AT31" s="49"/>
      <c r="AU31" s="61"/>
      <c r="AV31" s="53">
        <f t="shared" si="19"/>
        <v>130377</v>
      </c>
      <c r="AW31" s="53">
        <f t="shared" si="19"/>
        <v>0</v>
      </c>
      <c r="AX31" s="53"/>
      <c r="AY31" s="35"/>
      <c r="AZ31" s="34"/>
      <c r="BA31" s="64"/>
      <c r="BB31" s="54">
        <f t="shared" si="17"/>
        <v>651885</v>
      </c>
      <c r="BC31" s="54">
        <f t="shared" si="18"/>
        <v>130377</v>
      </c>
      <c r="BD31" s="62">
        <f t="shared" si="4"/>
        <v>0</v>
      </c>
      <c r="BE31" s="387"/>
      <c r="BF31" s="58"/>
      <c r="BG31" s="66">
        <v>2005</v>
      </c>
      <c r="BH31" s="72" t="s">
        <v>117</v>
      </c>
    </row>
    <row r="32" spans="1:61" s="56" customFormat="1">
      <c r="A32" s="57" t="s">
        <v>475</v>
      </c>
      <c r="B32" s="34" t="s">
        <v>35</v>
      </c>
      <c r="C32" s="34" t="s">
        <v>79</v>
      </c>
      <c r="D32" s="35" t="s">
        <v>80</v>
      </c>
      <c r="E32" s="58" t="s">
        <v>476</v>
      </c>
      <c r="F32" s="37">
        <v>58584</v>
      </c>
      <c r="G32" s="34" t="s">
        <v>63</v>
      </c>
      <c r="H32" s="34" t="s">
        <v>47</v>
      </c>
      <c r="I32" s="34">
        <v>7</v>
      </c>
      <c r="J32" s="34">
        <v>196</v>
      </c>
      <c r="K32" s="34">
        <f t="shared" si="0"/>
        <v>1372</v>
      </c>
      <c r="L32" s="34"/>
      <c r="M32" s="34" t="s">
        <v>53</v>
      </c>
      <c r="N32" s="34" t="s">
        <v>43</v>
      </c>
      <c r="O32" s="58" t="s">
        <v>104</v>
      </c>
      <c r="P32" s="39" t="s">
        <v>77</v>
      </c>
      <c r="Q32" s="59" t="s">
        <v>114</v>
      </c>
      <c r="R32" s="283"/>
      <c r="S32" s="284"/>
      <c r="T32" s="285"/>
      <c r="U32" s="284"/>
      <c r="V32" s="284"/>
      <c r="W32" s="284"/>
      <c r="X32" s="283"/>
      <c r="Y32" s="284"/>
      <c r="Z32" s="285"/>
      <c r="AA32" s="284"/>
      <c r="AB32" s="284"/>
      <c r="AC32" s="284"/>
      <c r="AD32" s="286"/>
      <c r="AE32" s="287"/>
      <c r="AF32" s="288"/>
      <c r="AG32" s="287"/>
      <c r="AH32" s="287"/>
      <c r="AI32" s="287"/>
      <c r="AJ32" s="286"/>
      <c r="AK32" s="287"/>
      <c r="AL32" s="288"/>
      <c r="AM32" s="286"/>
      <c r="AN32" s="287"/>
      <c r="AO32" s="288"/>
      <c r="AP32" s="34"/>
      <c r="AQ32" s="34"/>
      <c r="AR32" s="34"/>
      <c r="AS32" s="60">
        <v>3200</v>
      </c>
      <c r="AT32" s="49">
        <v>0</v>
      </c>
      <c r="AU32" s="61">
        <v>0</v>
      </c>
      <c r="AV32" s="53">
        <f t="shared" si="19"/>
        <v>3200</v>
      </c>
      <c r="AW32" s="53">
        <f t="shared" si="19"/>
        <v>0</v>
      </c>
      <c r="AX32" s="53"/>
      <c r="AY32" s="35"/>
      <c r="AZ32" s="34"/>
      <c r="BA32" s="64"/>
      <c r="BB32" s="54">
        <f t="shared" si="17"/>
        <v>12800</v>
      </c>
      <c r="BC32" s="54">
        <f t="shared" si="18"/>
        <v>3200</v>
      </c>
      <c r="BD32" s="62">
        <f t="shared" si="4"/>
        <v>0</v>
      </c>
      <c r="BE32" s="387"/>
      <c r="BF32" s="330" t="s">
        <v>575</v>
      </c>
      <c r="BG32" s="66">
        <v>2006</v>
      </c>
      <c r="BH32" s="72" t="s">
        <v>579</v>
      </c>
    </row>
    <row r="33" spans="1:61" s="56" customFormat="1">
      <c r="A33" s="57" t="s">
        <v>118</v>
      </c>
      <c r="B33" s="34" t="s">
        <v>35</v>
      </c>
      <c r="C33" s="34" t="s">
        <v>79</v>
      </c>
      <c r="D33" s="35" t="s">
        <v>80</v>
      </c>
      <c r="E33" s="58" t="s">
        <v>119</v>
      </c>
      <c r="F33" s="37">
        <v>363100</v>
      </c>
      <c r="G33" s="34" t="s">
        <v>68</v>
      </c>
      <c r="H33" s="34" t="s">
        <v>40</v>
      </c>
      <c r="I33" s="34">
        <v>10</v>
      </c>
      <c r="J33" s="34">
        <v>305</v>
      </c>
      <c r="K33" s="34">
        <f t="shared" si="0"/>
        <v>3050</v>
      </c>
      <c r="L33" s="38" t="s">
        <v>120</v>
      </c>
      <c r="M33" s="38" t="s">
        <v>42</v>
      </c>
      <c r="N33" s="34" t="s">
        <v>43</v>
      </c>
      <c r="O33" s="58" t="s">
        <v>121</v>
      </c>
      <c r="P33" s="39" t="s">
        <v>88</v>
      </c>
      <c r="Q33" s="59" t="s">
        <v>46</v>
      </c>
      <c r="R33" s="68">
        <f>52462-4645</f>
        <v>47817</v>
      </c>
      <c r="S33" s="44">
        <f>51727-3760</f>
        <v>47967</v>
      </c>
      <c r="T33" s="69">
        <f>51535-3766</f>
        <v>47769</v>
      </c>
      <c r="U33" s="44">
        <f>4645+270</f>
        <v>4915</v>
      </c>
      <c r="V33" s="44">
        <f>3760+264</f>
        <v>4024</v>
      </c>
      <c r="W33" s="44">
        <f>3766+262</f>
        <v>4028</v>
      </c>
      <c r="X33" s="68">
        <f>R33+U33</f>
        <v>52732</v>
      </c>
      <c r="Y33" s="44">
        <f>S33+V33</f>
        <v>51991</v>
      </c>
      <c r="Z33" s="69">
        <f>T33+W33</f>
        <v>51797</v>
      </c>
      <c r="AA33" s="44"/>
      <c r="AB33" s="44"/>
      <c r="AC33" s="44"/>
      <c r="AD33" s="70">
        <v>50868</v>
      </c>
      <c r="AE33" s="48">
        <v>51305</v>
      </c>
      <c r="AF33" s="71">
        <v>50783</v>
      </c>
      <c r="AG33" s="48">
        <v>2019</v>
      </c>
      <c r="AH33" s="48">
        <v>589</v>
      </c>
      <c r="AI33" s="48">
        <v>580</v>
      </c>
      <c r="AJ33" s="70">
        <f>AD33+AG33</f>
        <v>52887</v>
      </c>
      <c r="AK33" s="48">
        <f>AE33+AH33</f>
        <v>51894</v>
      </c>
      <c r="AL33" s="71">
        <f>AF33+AI33</f>
        <v>51363</v>
      </c>
      <c r="AM33" s="70">
        <v>2082</v>
      </c>
      <c r="AN33" s="48">
        <v>1285</v>
      </c>
      <c r="AO33" s="71">
        <v>1259</v>
      </c>
      <c r="AP33" s="49">
        <f t="shared" ref="AP33:BA33" si="20">AVERAGE(R33,AD33)</f>
        <v>49342.5</v>
      </c>
      <c r="AQ33" s="49">
        <f t="shared" si="20"/>
        <v>49636</v>
      </c>
      <c r="AR33" s="49">
        <f t="shared" si="20"/>
        <v>49276</v>
      </c>
      <c r="AS33" s="60">
        <f t="shared" si="20"/>
        <v>3467</v>
      </c>
      <c r="AT33" s="49">
        <f t="shared" si="20"/>
        <v>2306.5</v>
      </c>
      <c r="AU33" s="61">
        <f t="shared" si="20"/>
        <v>2304</v>
      </c>
      <c r="AV33" s="53">
        <f t="shared" si="20"/>
        <v>52809.5</v>
      </c>
      <c r="AW33" s="53">
        <f t="shared" si="20"/>
        <v>51942.5</v>
      </c>
      <c r="AX33" s="53">
        <f t="shared" si="20"/>
        <v>51580</v>
      </c>
      <c r="AY33" s="60">
        <f t="shared" si="20"/>
        <v>2082</v>
      </c>
      <c r="AZ33" s="49">
        <f t="shared" si="20"/>
        <v>1285</v>
      </c>
      <c r="BA33" s="61">
        <f t="shared" si="20"/>
        <v>1259</v>
      </c>
      <c r="BB33" s="54">
        <f t="shared" si="17"/>
        <v>314760.5</v>
      </c>
      <c r="BC33" s="54">
        <f t="shared" si="18"/>
        <v>52460.083333333336</v>
      </c>
      <c r="BD33" s="62">
        <f t="shared" si="4"/>
        <v>10872</v>
      </c>
      <c r="BF33" s="330"/>
    </row>
    <row r="34" spans="1:61" s="56" customFormat="1">
      <c r="A34" s="57" t="s">
        <v>477</v>
      </c>
      <c r="B34" s="34" t="s">
        <v>35</v>
      </c>
      <c r="C34" s="34" t="s">
        <v>79</v>
      </c>
      <c r="D34" s="35" t="s">
        <v>80</v>
      </c>
      <c r="E34" s="58" t="s">
        <v>478</v>
      </c>
      <c r="F34" s="37">
        <v>82368</v>
      </c>
      <c r="G34" s="34" t="s">
        <v>63</v>
      </c>
      <c r="H34" s="34" t="s">
        <v>47</v>
      </c>
      <c r="I34" s="34">
        <v>7</v>
      </c>
      <c r="J34" s="34">
        <v>196</v>
      </c>
      <c r="K34" s="34">
        <f t="shared" si="0"/>
        <v>1372</v>
      </c>
      <c r="L34" s="34"/>
      <c r="M34" s="34" t="s">
        <v>53</v>
      </c>
      <c r="N34" s="34" t="s">
        <v>43</v>
      </c>
      <c r="O34" s="58" t="s">
        <v>104</v>
      </c>
      <c r="P34" s="39" t="s">
        <v>77</v>
      </c>
      <c r="Q34" s="59" t="s">
        <v>114</v>
      </c>
      <c r="R34" s="283"/>
      <c r="S34" s="284"/>
      <c r="T34" s="285"/>
      <c r="U34" s="284"/>
      <c r="V34" s="284"/>
      <c r="W34" s="284"/>
      <c r="X34" s="283"/>
      <c r="Y34" s="284"/>
      <c r="Z34" s="285"/>
      <c r="AA34" s="284"/>
      <c r="AB34" s="284"/>
      <c r="AC34" s="284"/>
      <c r="AD34" s="286"/>
      <c r="AE34" s="287"/>
      <c r="AF34" s="288"/>
      <c r="AG34" s="287"/>
      <c r="AH34" s="287"/>
      <c r="AI34" s="287"/>
      <c r="AJ34" s="286"/>
      <c r="AK34" s="287"/>
      <c r="AL34" s="288"/>
      <c r="AM34" s="286"/>
      <c r="AN34" s="287"/>
      <c r="AO34" s="288"/>
      <c r="AP34" s="34"/>
      <c r="AQ34" s="34"/>
      <c r="AR34" s="34"/>
      <c r="AS34" s="60">
        <v>3700</v>
      </c>
      <c r="AT34" s="49">
        <v>0</v>
      </c>
      <c r="AU34" s="61">
        <v>0</v>
      </c>
      <c r="AV34" s="53">
        <f>AP34+AS34</f>
        <v>3700</v>
      </c>
      <c r="AW34" s="53">
        <f>AQ34+AT34</f>
        <v>0</v>
      </c>
      <c r="AX34" s="53"/>
      <c r="AY34" s="35"/>
      <c r="AZ34" s="34"/>
      <c r="BA34" s="64"/>
      <c r="BB34" s="54">
        <f t="shared" si="17"/>
        <v>14800</v>
      </c>
      <c r="BC34" s="54">
        <f t="shared" si="18"/>
        <v>3700</v>
      </c>
      <c r="BD34" s="62">
        <f t="shared" si="4"/>
        <v>0</v>
      </c>
      <c r="BE34" s="387"/>
      <c r="BF34" s="330" t="s">
        <v>580</v>
      </c>
      <c r="BG34" s="66">
        <v>2006</v>
      </c>
      <c r="BH34" s="72" t="s">
        <v>581</v>
      </c>
    </row>
    <row r="35" spans="1:61" s="56" customFormat="1">
      <c r="A35" s="57" t="s">
        <v>122</v>
      </c>
      <c r="B35" s="34" t="s">
        <v>35</v>
      </c>
      <c r="C35" s="34" t="s">
        <v>36</v>
      </c>
      <c r="D35" s="35" t="s">
        <v>123</v>
      </c>
      <c r="E35" s="58" t="s">
        <v>124</v>
      </c>
      <c r="F35" s="37">
        <v>53229</v>
      </c>
      <c r="G35" s="34" t="s">
        <v>63</v>
      </c>
      <c r="H35" s="34" t="s">
        <v>40</v>
      </c>
      <c r="I35" s="34">
        <v>6</v>
      </c>
      <c r="J35" s="34">
        <v>300</v>
      </c>
      <c r="K35" s="34">
        <f t="shared" si="0"/>
        <v>1800</v>
      </c>
      <c r="L35" s="38"/>
      <c r="M35" s="38" t="s">
        <v>42</v>
      </c>
      <c r="N35" s="34" t="s">
        <v>64</v>
      </c>
      <c r="O35" s="58" t="s">
        <v>49</v>
      </c>
      <c r="P35" s="39" t="s">
        <v>125</v>
      </c>
      <c r="Q35" s="59" t="s">
        <v>46</v>
      </c>
      <c r="R35" s="68">
        <f>10267+1585</f>
        <v>11852</v>
      </c>
      <c r="S35" s="44">
        <f>11484+1395</f>
        <v>12879</v>
      </c>
      <c r="T35" s="69"/>
      <c r="U35" s="44">
        <v>68</v>
      </c>
      <c r="V35" s="44">
        <v>88</v>
      </c>
      <c r="W35" s="44"/>
      <c r="X35" s="68">
        <f>R35+U35</f>
        <v>11920</v>
      </c>
      <c r="Y35" s="44">
        <f>S35+V35</f>
        <v>12967</v>
      </c>
      <c r="Z35" s="69"/>
      <c r="AA35" s="44">
        <v>273</v>
      </c>
      <c r="AB35" s="44">
        <v>274</v>
      </c>
      <c r="AC35" s="44"/>
      <c r="AD35" s="70">
        <v>9339</v>
      </c>
      <c r="AE35" s="48">
        <v>11465</v>
      </c>
      <c r="AF35" s="71"/>
      <c r="AG35" s="48">
        <v>2343</v>
      </c>
      <c r="AH35" s="48">
        <v>1783</v>
      </c>
      <c r="AI35" s="48"/>
      <c r="AJ35" s="70">
        <f t="shared" ref="AJ35:AL37" si="21">AD35+AG35</f>
        <v>11682</v>
      </c>
      <c r="AK35" s="48">
        <f t="shared" si="21"/>
        <v>13248</v>
      </c>
      <c r="AL35" s="71">
        <f t="shared" si="21"/>
        <v>0</v>
      </c>
      <c r="AM35" s="70">
        <v>276</v>
      </c>
      <c r="AN35" s="48">
        <v>277</v>
      </c>
      <c r="AO35" s="71"/>
      <c r="AP35" s="49">
        <f>AVERAGE(R35,AD35)</f>
        <v>10595.5</v>
      </c>
      <c r="AQ35" s="49">
        <f>AVERAGE(S35,AE35)</f>
        <v>12172</v>
      </c>
      <c r="AR35" s="49"/>
      <c r="AS35" s="60">
        <f>AVERAGE(U35,AG35)</f>
        <v>1205.5</v>
      </c>
      <c r="AT35" s="49">
        <f>AVERAGE(V35,AH35)</f>
        <v>935.5</v>
      </c>
      <c r="AU35" s="61"/>
      <c r="AV35" s="53">
        <f t="shared" ref="AV35:AZ36" si="22">AVERAGE(X35,AJ35)</f>
        <v>11801</v>
      </c>
      <c r="AW35" s="53">
        <f t="shared" si="22"/>
        <v>13107.5</v>
      </c>
      <c r="AX35" s="53">
        <f t="shared" si="22"/>
        <v>0</v>
      </c>
      <c r="AY35" s="60">
        <f t="shared" si="22"/>
        <v>274.5</v>
      </c>
      <c r="AZ35" s="49">
        <f t="shared" si="22"/>
        <v>275.5</v>
      </c>
      <c r="BA35" s="61"/>
      <c r="BB35" s="54">
        <f t="shared" si="17"/>
        <v>72112.5</v>
      </c>
      <c r="BC35" s="54">
        <f t="shared" si="18"/>
        <v>10301.785714285714</v>
      </c>
      <c r="BD35" s="62">
        <f t="shared" si="4"/>
        <v>1648</v>
      </c>
      <c r="BF35" s="354" t="s">
        <v>85</v>
      </c>
      <c r="BG35" s="65"/>
      <c r="BH35" s="100" t="s">
        <v>85</v>
      </c>
    </row>
    <row r="36" spans="1:61" s="63" customFormat="1">
      <c r="A36" s="57" t="s">
        <v>128</v>
      </c>
      <c r="B36" s="34" t="s">
        <v>35</v>
      </c>
      <c r="C36" s="34" t="s">
        <v>36</v>
      </c>
      <c r="D36" s="35" t="s">
        <v>123</v>
      </c>
      <c r="E36" s="58" t="s">
        <v>126</v>
      </c>
      <c r="F36" s="37">
        <v>778400</v>
      </c>
      <c r="G36" s="34" t="s">
        <v>127</v>
      </c>
      <c r="H36" s="34" t="s">
        <v>40</v>
      </c>
      <c r="I36" s="34">
        <v>10</v>
      </c>
      <c r="J36" s="34">
        <v>301</v>
      </c>
      <c r="K36" s="34">
        <f t="shared" si="0"/>
        <v>3010</v>
      </c>
      <c r="L36" s="38"/>
      <c r="M36" s="38" t="s">
        <v>42</v>
      </c>
      <c r="N36" s="34" t="s">
        <v>43</v>
      </c>
      <c r="O36" s="58" t="s">
        <v>44</v>
      </c>
      <c r="P36" s="39" t="s">
        <v>125</v>
      </c>
      <c r="Q36" s="59" t="s">
        <v>46</v>
      </c>
      <c r="R36" s="68">
        <f>77713+30251+4137</f>
        <v>112101</v>
      </c>
      <c r="S36" s="44">
        <f>110527+28589+2909</f>
        <v>142025</v>
      </c>
      <c r="T36" s="69"/>
      <c r="U36" s="44">
        <v>2197</v>
      </c>
      <c r="V36" s="44">
        <v>2467</v>
      </c>
      <c r="W36" s="44"/>
      <c r="X36" s="68">
        <f>R36+U36</f>
        <v>114298</v>
      </c>
      <c r="Y36" s="44">
        <f>S36+V36</f>
        <v>144492</v>
      </c>
      <c r="Z36" s="69"/>
      <c r="AA36" s="44">
        <f>474+30251</f>
        <v>30725</v>
      </c>
      <c r="AB36" s="44">
        <f>3+28589</f>
        <v>28592</v>
      </c>
      <c r="AC36" s="44"/>
      <c r="AD36" s="70">
        <v>75255</v>
      </c>
      <c r="AE36" s="48">
        <v>107485</v>
      </c>
      <c r="AF36" s="71"/>
      <c r="AG36" s="48">
        <v>27612</v>
      </c>
      <c r="AH36" s="48">
        <v>36579</v>
      </c>
      <c r="AI36" s="48"/>
      <c r="AJ36" s="70">
        <f t="shared" si="21"/>
        <v>102867</v>
      </c>
      <c r="AK36" s="48">
        <f t="shared" si="21"/>
        <v>144064</v>
      </c>
      <c r="AL36" s="71">
        <f t="shared" si="21"/>
        <v>0</v>
      </c>
      <c r="AM36" s="70">
        <v>22163</v>
      </c>
      <c r="AN36" s="48">
        <v>32923</v>
      </c>
      <c r="AO36" s="71"/>
      <c r="AP36" s="49">
        <f>AVERAGE(R36,AD36)</f>
        <v>93678</v>
      </c>
      <c r="AQ36" s="49">
        <f>AVERAGE(S36,AE36)</f>
        <v>124755</v>
      </c>
      <c r="AR36" s="49"/>
      <c r="AS36" s="60">
        <f>AVERAGE(U36,AG36)</f>
        <v>14904.5</v>
      </c>
      <c r="AT36" s="49">
        <f>AVERAGE(V36,AH36)</f>
        <v>19523</v>
      </c>
      <c r="AU36" s="61"/>
      <c r="AV36" s="53">
        <f t="shared" si="22"/>
        <v>108582.5</v>
      </c>
      <c r="AW36" s="53">
        <f t="shared" si="22"/>
        <v>144278</v>
      </c>
      <c r="AX36" s="53">
        <f t="shared" si="22"/>
        <v>0</v>
      </c>
      <c r="AY36" s="60">
        <f t="shared" si="22"/>
        <v>26444</v>
      </c>
      <c r="AZ36" s="49">
        <f t="shared" si="22"/>
        <v>30757.5</v>
      </c>
      <c r="BA36" s="61"/>
      <c r="BB36" s="54">
        <f t="shared" si="17"/>
        <v>687190.5</v>
      </c>
      <c r="BC36" s="54">
        <f t="shared" si="18"/>
        <v>114531.75</v>
      </c>
      <c r="BD36" s="62">
        <f t="shared" si="4"/>
        <v>162977.5</v>
      </c>
      <c r="BE36" s="56"/>
      <c r="BF36" s="354" t="s">
        <v>85</v>
      </c>
      <c r="BG36" s="65"/>
      <c r="BH36" s="100" t="s">
        <v>85</v>
      </c>
      <c r="BI36" s="56"/>
    </row>
    <row r="37" spans="1:61" s="56" customFormat="1">
      <c r="A37" s="57" t="s">
        <v>479</v>
      </c>
      <c r="B37" s="34" t="s">
        <v>35</v>
      </c>
      <c r="C37" s="34" t="s">
        <v>36</v>
      </c>
      <c r="D37" s="35" t="s">
        <v>123</v>
      </c>
      <c r="E37" s="58" t="s">
        <v>126</v>
      </c>
      <c r="F37" s="37">
        <v>778400</v>
      </c>
      <c r="G37" s="34" t="s">
        <v>127</v>
      </c>
      <c r="H37" s="34" t="s">
        <v>47</v>
      </c>
      <c r="I37" s="34">
        <v>10</v>
      </c>
      <c r="J37" s="34">
        <v>160</v>
      </c>
      <c r="K37" s="34">
        <f t="shared" si="0"/>
        <v>1600</v>
      </c>
      <c r="L37" s="38" t="s">
        <v>48</v>
      </c>
      <c r="M37" s="38" t="s">
        <v>42</v>
      </c>
      <c r="N37" s="34" t="s">
        <v>43</v>
      </c>
      <c r="O37" s="58" t="s">
        <v>49</v>
      </c>
      <c r="P37" s="39" t="s">
        <v>50</v>
      </c>
      <c r="Q37" s="59" t="s">
        <v>51</v>
      </c>
      <c r="R37" s="68"/>
      <c r="S37" s="44"/>
      <c r="T37" s="69"/>
      <c r="U37" s="44"/>
      <c r="V37" s="44"/>
      <c r="W37" s="44"/>
      <c r="X37" s="68"/>
      <c r="Y37" s="44"/>
      <c r="Z37" s="69"/>
      <c r="AA37" s="44"/>
      <c r="AB37" s="44"/>
      <c r="AC37" s="44"/>
      <c r="AD37" s="70"/>
      <c r="AE37" s="48"/>
      <c r="AF37" s="71"/>
      <c r="AG37" s="48"/>
      <c r="AH37" s="48"/>
      <c r="AI37" s="48"/>
      <c r="AJ37" s="70">
        <f t="shared" si="21"/>
        <v>0</v>
      </c>
      <c r="AK37" s="48">
        <f t="shared" si="21"/>
        <v>0</v>
      </c>
      <c r="AL37" s="71">
        <f t="shared" si="21"/>
        <v>0</v>
      </c>
      <c r="AM37" s="70"/>
      <c r="AN37" s="48"/>
      <c r="AO37" s="71"/>
      <c r="AP37" s="49">
        <v>17918</v>
      </c>
      <c r="AQ37" s="49">
        <v>18844</v>
      </c>
      <c r="AR37" s="49">
        <v>20342</v>
      </c>
      <c r="AS37" s="60">
        <v>40169</v>
      </c>
      <c r="AT37" s="49">
        <v>31747</v>
      </c>
      <c r="AU37" s="61">
        <v>29788</v>
      </c>
      <c r="AV37" s="53">
        <f>AP37+AS37</f>
        <v>58087</v>
      </c>
      <c r="AW37" s="53">
        <f>AQ37+AT37</f>
        <v>50591</v>
      </c>
      <c r="AX37" s="53">
        <f>AR37+AU37</f>
        <v>50130</v>
      </c>
      <c r="AY37" s="60">
        <f>627+6701+18157</f>
        <v>25485</v>
      </c>
      <c r="AZ37" s="49">
        <f>674+7709+20764</f>
        <v>29147</v>
      </c>
      <c r="BA37" s="61">
        <f>643+7321+20122</f>
        <v>28086</v>
      </c>
      <c r="BB37" s="54">
        <f t="shared" si="17"/>
        <v>391156</v>
      </c>
      <c r="BC37" s="54">
        <f t="shared" si="18"/>
        <v>55879.428571428572</v>
      </c>
      <c r="BD37" s="62">
        <f t="shared" si="4"/>
        <v>184658</v>
      </c>
      <c r="BF37" s="330"/>
      <c r="BI37" s="101"/>
    </row>
    <row r="38" spans="1:61" s="56" customFormat="1">
      <c r="A38" s="57" t="s">
        <v>129</v>
      </c>
      <c r="B38" s="34" t="s">
        <v>35</v>
      </c>
      <c r="C38" s="34" t="s">
        <v>36</v>
      </c>
      <c r="D38" s="35" t="s">
        <v>123</v>
      </c>
      <c r="E38" s="58" t="s">
        <v>126</v>
      </c>
      <c r="F38" s="37">
        <v>778400</v>
      </c>
      <c r="G38" s="34" t="s">
        <v>127</v>
      </c>
      <c r="H38" s="34" t="s">
        <v>47</v>
      </c>
      <c r="I38" s="34">
        <v>6</v>
      </c>
      <c r="J38" s="34">
        <v>175</v>
      </c>
      <c r="K38" s="34">
        <f t="shared" si="0"/>
        <v>1050</v>
      </c>
      <c r="L38" s="34"/>
      <c r="M38" s="34" t="s">
        <v>53</v>
      </c>
      <c r="N38" s="34" t="s">
        <v>43</v>
      </c>
      <c r="O38" s="58" t="s">
        <v>54</v>
      </c>
      <c r="P38" s="39" t="s">
        <v>55</v>
      </c>
      <c r="Q38" s="59" t="s">
        <v>51</v>
      </c>
      <c r="R38" s="283"/>
      <c r="S38" s="284"/>
      <c r="T38" s="285"/>
      <c r="U38" s="284"/>
      <c r="V38" s="284"/>
      <c r="W38" s="284"/>
      <c r="X38" s="283"/>
      <c r="Y38" s="284"/>
      <c r="Z38" s="285"/>
      <c r="AA38" s="284"/>
      <c r="AB38" s="284"/>
      <c r="AC38" s="284"/>
      <c r="AD38" s="286"/>
      <c r="AE38" s="287"/>
      <c r="AF38" s="288"/>
      <c r="AG38" s="287"/>
      <c r="AH38" s="287"/>
      <c r="AI38" s="287"/>
      <c r="AJ38" s="286"/>
      <c r="AK38" s="287"/>
      <c r="AL38" s="288"/>
      <c r="AM38" s="286"/>
      <c r="AN38" s="287"/>
      <c r="AO38" s="288"/>
      <c r="AP38" s="34"/>
      <c r="AQ38" s="34"/>
      <c r="AR38" s="34"/>
      <c r="AS38" s="60">
        <v>41583</v>
      </c>
      <c r="AT38" s="49"/>
      <c r="AU38" s="61"/>
      <c r="AV38" s="53">
        <f>AP38+AS38</f>
        <v>41583</v>
      </c>
      <c r="AW38" s="53">
        <f>AQ38+AT38</f>
        <v>0</v>
      </c>
      <c r="AX38" s="53"/>
      <c r="AY38" s="35"/>
      <c r="AZ38" s="34"/>
      <c r="BA38" s="64"/>
      <c r="BB38" s="54">
        <f t="shared" si="17"/>
        <v>207915</v>
      </c>
      <c r="BC38" s="54">
        <f t="shared" si="18"/>
        <v>41583</v>
      </c>
      <c r="BD38" s="62">
        <f t="shared" si="4"/>
        <v>0</v>
      </c>
      <c r="BE38" s="387"/>
      <c r="BF38" s="58"/>
      <c r="BG38" s="66">
        <v>2011</v>
      </c>
      <c r="BH38" s="72" t="s">
        <v>130</v>
      </c>
    </row>
    <row r="39" spans="1:61" s="56" customFormat="1">
      <c r="A39" s="88" t="s">
        <v>131</v>
      </c>
      <c r="B39" s="75" t="s">
        <v>132</v>
      </c>
      <c r="C39" s="75" t="s">
        <v>133</v>
      </c>
      <c r="D39" s="76" t="s">
        <v>134</v>
      </c>
      <c r="E39" s="77" t="s">
        <v>135</v>
      </c>
      <c r="F39" s="78">
        <v>4276</v>
      </c>
      <c r="G39" s="75" t="s">
        <v>82</v>
      </c>
      <c r="H39" s="75" t="s">
        <v>47</v>
      </c>
      <c r="I39" s="75">
        <v>12</v>
      </c>
      <c r="J39" s="75">
        <v>160</v>
      </c>
      <c r="K39" s="75">
        <f t="shared" si="0"/>
        <v>1920</v>
      </c>
      <c r="L39" s="79"/>
      <c r="M39" s="38" t="s">
        <v>42</v>
      </c>
      <c r="N39" s="75" t="s">
        <v>43</v>
      </c>
      <c r="O39" s="77" t="s">
        <v>44</v>
      </c>
      <c r="P39" s="80" t="s">
        <v>113</v>
      </c>
      <c r="Q39" s="81" t="s">
        <v>114</v>
      </c>
      <c r="R39" s="89"/>
      <c r="S39" s="90"/>
      <c r="T39" s="91"/>
      <c r="U39" s="90"/>
      <c r="V39" s="90"/>
      <c r="W39" s="90"/>
      <c r="X39" s="89"/>
      <c r="Y39" s="90"/>
      <c r="Z39" s="91"/>
      <c r="AA39" s="90"/>
      <c r="AB39" s="90"/>
      <c r="AC39" s="90"/>
      <c r="AD39" s="92"/>
      <c r="AE39" s="93"/>
      <c r="AF39" s="94"/>
      <c r="AG39" s="93"/>
      <c r="AH39" s="93"/>
      <c r="AI39" s="93"/>
      <c r="AJ39" s="92">
        <f>AD39+AG39</f>
        <v>0</v>
      </c>
      <c r="AK39" s="93">
        <f>AE39+AH39</f>
        <v>0</v>
      </c>
      <c r="AL39" s="94">
        <f>AF39+AI39</f>
        <v>0</v>
      </c>
      <c r="AM39" s="92"/>
      <c r="AN39" s="93"/>
      <c r="AO39" s="94"/>
      <c r="AP39" s="83">
        <v>18102</v>
      </c>
      <c r="AQ39" s="83">
        <v>18102</v>
      </c>
      <c r="AR39" s="83"/>
      <c r="AS39" s="82"/>
      <c r="AT39" s="83"/>
      <c r="AU39" s="84"/>
      <c r="AV39" s="85">
        <f>AP39+AS39</f>
        <v>18102</v>
      </c>
      <c r="AW39" s="85">
        <f>AQ39+AT39</f>
        <v>18102</v>
      </c>
      <c r="AX39" s="85">
        <f>AR39+AU39</f>
        <v>0</v>
      </c>
      <c r="AY39" s="82"/>
      <c r="AZ39" s="83"/>
      <c r="BA39" s="84"/>
      <c r="BB39" s="86">
        <f t="shared" si="17"/>
        <v>108612</v>
      </c>
      <c r="BC39" s="86">
        <f t="shared" si="18"/>
        <v>18102</v>
      </c>
      <c r="BD39" s="87">
        <f t="shared" si="4"/>
        <v>0</v>
      </c>
      <c r="BE39" s="73"/>
      <c r="BF39" s="347" t="s">
        <v>558</v>
      </c>
      <c r="BG39" s="73"/>
      <c r="BH39" s="73"/>
      <c r="BI39" s="73"/>
    </row>
    <row r="40" spans="1:61" s="56" customFormat="1">
      <c r="A40" s="88" t="s">
        <v>136</v>
      </c>
      <c r="B40" s="75" t="s">
        <v>35</v>
      </c>
      <c r="C40" s="75" t="s">
        <v>133</v>
      </c>
      <c r="D40" s="76" t="s">
        <v>134</v>
      </c>
      <c r="E40" s="77" t="s">
        <v>137</v>
      </c>
      <c r="F40" s="78">
        <v>94268</v>
      </c>
      <c r="G40" s="75" t="s">
        <v>63</v>
      </c>
      <c r="H40" s="75" t="s">
        <v>40</v>
      </c>
      <c r="I40" s="75">
        <v>10</v>
      </c>
      <c r="J40" s="75">
        <v>294</v>
      </c>
      <c r="K40" s="75">
        <f t="shared" si="0"/>
        <v>2940</v>
      </c>
      <c r="L40" s="79" t="s">
        <v>138</v>
      </c>
      <c r="M40" s="38" t="s">
        <v>42</v>
      </c>
      <c r="N40" s="75" t="s">
        <v>64</v>
      </c>
      <c r="O40" s="77" t="s">
        <v>44</v>
      </c>
      <c r="P40" s="80" t="s">
        <v>139</v>
      </c>
      <c r="Q40" s="81" t="s">
        <v>46</v>
      </c>
      <c r="R40" s="89">
        <f>16520-634</f>
        <v>15886</v>
      </c>
      <c r="S40" s="90">
        <f>16969-509</f>
        <v>16460</v>
      </c>
      <c r="T40" s="91"/>
      <c r="U40" s="90">
        <f>634+55</f>
        <v>689</v>
      </c>
      <c r="V40" s="90">
        <f>509+48</f>
        <v>557</v>
      </c>
      <c r="W40" s="90"/>
      <c r="X40" s="89">
        <f t="shared" ref="X40:Y42" si="23">R40+U40</f>
        <v>16575</v>
      </c>
      <c r="Y40" s="90">
        <f t="shared" si="23"/>
        <v>17017</v>
      </c>
      <c r="Z40" s="91"/>
      <c r="AA40" s="90"/>
      <c r="AB40" s="90"/>
      <c r="AC40" s="90"/>
      <c r="AD40" s="295"/>
      <c r="AE40" s="296"/>
      <c r="AF40" s="297"/>
      <c r="AG40" s="296"/>
      <c r="AH40" s="296"/>
      <c r="AI40" s="296"/>
      <c r="AJ40" s="92"/>
      <c r="AK40" s="93"/>
      <c r="AL40" s="94"/>
      <c r="AM40" s="92"/>
      <c r="AN40" s="93"/>
      <c r="AO40" s="94"/>
      <c r="AP40" s="83">
        <f t="shared" ref="AP40:AQ42" si="24">AVERAGE(R40,AD40)</f>
        <v>15886</v>
      </c>
      <c r="AQ40" s="83">
        <f t="shared" si="24"/>
        <v>16460</v>
      </c>
      <c r="AR40" s="83"/>
      <c r="AS40" s="82">
        <f t="shared" ref="AS40:AT42" si="25">AVERAGE(U40,AG40)</f>
        <v>689</v>
      </c>
      <c r="AT40" s="83">
        <f t="shared" si="25"/>
        <v>557</v>
      </c>
      <c r="AU40" s="84"/>
      <c r="AV40" s="85">
        <f t="shared" ref="AV40:AW42" si="26">AVERAGE(X40,AJ40)</f>
        <v>16575</v>
      </c>
      <c r="AW40" s="85">
        <f t="shared" si="26"/>
        <v>17017</v>
      </c>
      <c r="AX40" s="85"/>
      <c r="AY40" s="82"/>
      <c r="AZ40" s="83"/>
      <c r="BA40" s="84"/>
      <c r="BB40" s="86">
        <f t="shared" si="17"/>
        <v>99892</v>
      </c>
      <c r="BC40" s="86">
        <f t="shared" si="18"/>
        <v>16648.666666666668</v>
      </c>
      <c r="BD40" s="87">
        <f t="shared" si="4"/>
        <v>0</v>
      </c>
      <c r="BE40" s="73"/>
      <c r="BF40" s="349" t="s">
        <v>85</v>
      </c>
      <c r="BG40" s="353"/>
      <c r="BH40" s="353" t="s">
        <v>85</v>
      </c>
      <c r="BI40" s="73"/>
    </row>
    <row r="41" spans="1:61" s="56" customFormat="1">
      <c r="A41" s="88" t="s">
        <v>140</v>
      </c>
      <c r="B41" s="75" t="s">
        <v>35</v>
      </c>
      <c r="C41" s="75" t="s">
        <v>133</v>
      </c>
      <c r="D41" s="76" t="s">
        <v>134</v>
      </c>
      <c r="E41" s="77" t="s">
        <v>141</v>
      </c>
      <c r="F41" s="78">
        <v>143000</v>
      </c>
      <c r="G41" s="75" t="s">
        <v>68</v>
      </c>
      <c r="H41" s="75" t="s">
        <v>40</v>
      </c>
      <c r="I41" s="75">
        <v>10</v>
      </c>
      <c r="J41" s="75">
        <v>294</v>
      </c>
      <c r="K41" s="75">
        <f t="shared" si="0"/>
        <v>2940</v>
      </c>
      <c r="L41" s="79" t="s">
        <v>138</v>
      </c>
      <c r="M41" s="38" t="s">
        <v>42</v>
      </c>
      <c r="N41" s="75" t="s">
        <v>43</v>
      </c>
      <c r="O41" s="77" t="s">
        <v>44</v>
      </c>
      <c r="P41" s="80" t="s">
        <v>139</v>
      </c>
      <c r="Q41" s="81" t="s">
        <v>46</v>
      </c>
      <c r="R41" s="89">
        <f>29331-1852</f>
        <v>27479</v>
      </c>
      <c r="S41" s="90">
        <f>31186-1680</f>
        <v>29506</v>
      </c>
      <c r="T41" s="91"/>
      <c r="U41" s="90">
        <f>1852+86</f>
        <v>1938</v>
      </c>
      <c r="V41" s="90">
        <f>1680+84</f>
        <v>1764</v>
      </c>
      <c r="W41" s="90"/>
      <c r="X41" s="89">
        <f t="shared" si="23"/>
        <v>29417</v>
      </c>
      <c r="Y41" s="90">
        <f t="shared" si="23"/>
        <v>31270</v>
      </c>
      <c r="Z41" s="91"/>
      <c r="AA41" s="90"/>
      <c r="AB41" s="90"/>
      <c r="AC41" s="90"/>
      <c r="AD41" s="295"/>
      <c r="AE41" s="296"/>
      <c r="AF41" s="297"/>
      <c r="AG41" s="296"/>
      <c r="AH41" s="296"/>
      <c r="AI41" s="296"/>
      <c r="AJ41" s="92"/>
      <c r="AK41" s="93"/>
      <c r="AL41" s="94"/>
      <c r="AM41" s="92"/>
      <c r="AN41" s="93"/>
      <c r="AO41" s="94"/>
      <c r="AP41" s="83">
        <f t="shared" si="24"/>
        <v>27479</v>
      </c>
      <c r="AQ41" s="83">
        <f t="shared" si="24"/>
        <v>29506</v>
      </c>
      <c r="AR41" s="83"/>
      <c r="AS41" s="82">
        <f t="shared" si="25"/>
        <v>1938</v>
      </c>
      <c r="AT41" s="83">
        <f t="shared" si="25"/>
        <v>1764</v>
      </c>
      <c r="AU41" s="84"/>
      <c r="AV41" s="85">
        <f t="shared" si="26"/>
        <v>29417</v>
      </c>
      <c r="AW41" s="85">
        <f t="shared" si="26"/>
        <v>31270</v>
      </c>
      <c r="AX41" s="85"/>
      <c r="AY41" s="82"/>
      <c r="AZ41" s="83"/>
      <c r="BA41" s="84"/>
      <c r="BB41" s="86">
        <f t="shared" si="17"/>
        <v>178355</v>
      </c>
      <c r="BC41" s="86">
        <f t="shared" si="18"/>
        <v>29725.833333333332</v>
      </c>
      <c r="BD41" s="87">
        <f t="shared" si="4"/>
        <v>0</v>
      </c>
      <c r="BE41" s="73"/>
      <c r="BF41" s="347" t="s">
        <v>85</v>
      </c>
      <c r="BG41" s="73"/>
      <c r="BH41" s="73"/>
      <c r="BI41" s="73"/>
    </row>
    <row r="42" spans="1:61" s="56" customFormat="1">
      <c r="A42" s="88" t="s">
        <v>142</v>
      </c>
      <c r="B42" s="75" t="s">
        <v>35</v>
      </c>
      <c r="C42" s="75" t="s">
        <v>133</v>
      </c>
      <c r="D42" s="76" t="s">
        <v>134</v>
      </c>
      <c r="E42" s="77" t="s">
        <v>143</v>
      </c>
      <c r="F42" s="78">
        <v>128900</v>
      </c>
      <c r="G42" s="75" t="s">
        <v>68</v>
      </c>
      <c r="H42" s="75" t="s">
        <v>40</v>
      </c>
      <c r="I42" s="75">
        <v>10</v>
      </c>
      <c r="J42" s="75">
        <v>294</v>
      </c>
      <c r="K42" s="75">
        <f t="shared" si="0"/>
        <v>2940</v>
      </c>
      <c r="L42" s="79" t="s">
        <v>138</v>
      </c>
      <c r="M42" s="38" t="s">
        <v>42</v>
      </c>
      <c r="N42" s="75" t="s">
        <v>43</v>
      </c>
      <c r="O42" s="77" t="s">
        <v>44</v>
      </c>
      <c r="P42" s="80" t="s">
        <v>139</v>
      </c>
      <c r="Q42" s="81" t="s">
        <v>46</v>
      </c>
      <c r="R42" s="89">
        <f>26739-2472</f>
        <v>24267</v>
      </c>
      <c r="S42" s="90">
        <f>28512-2368</f>
        <v>26144</v>
      </c>
      <c r="T42" s="91"/>
      <c r="U42" s="90">
        <f>2472+93</f>
        <v>2565</v>
      </c>
      <c r="V42" s="90">
        <f>2368+93</f>
        <v>2461</v>
      </c>
      <c r="W42" s="90"/>
      <c r="X42" s="89">
        <f t="shared" si="23"/>
        <v>26832</v>
      </c>
      <c r="Y42" s="90">
        <f t="shared" si="23"/>
        <v>28605</v>
      </c>
      <c r="Z42" s="91"/>
      <c r="AA42" s="90"/>
      <c r="AB42" s="90"/>
      <c r="AC42" s="90"/>
      <c r="AD42" s="295"/>
      <c r="AE42" s="296"/>
      <c r="AF42" s="297"/>
      <c r="AG42" s="296"/>
      <c r="AH42" s="296"/>
      <c r="AI42" s="296"/>
      <c r="AJ42" s="92"/>
      <c r="AK42" s="93"/>
      <c r="AL42" s="94"/>
      <c r="AM42" s="92"/>
      <c r="AN42" s="93"/>
      <c r="AO42" s="94"/>
      <c r="AP42" s="83">
        <f t="shared" si="24"/>
        <v>24267</v>
      </c>
      <c r="AQ42" s="83">
        <f t="shared" si="24"/>
        <v>26144</v>
      </c>
      <c r="AR42" s="83"/>
      <c r="AS42" s="82">
        <f t="shared" si="25"/>
        <v>2565</v>
      </c>
      <c r="AT42" s="83">
        <f t="shared" si="25"/>
        <v>2461</v>
      </c>
      <c r="AU42" s="84"/>
      <c r="AV42" s="85">
        <f t="shared" si="26"/>
        <v>26832</v>
      </c>
      <c r="AW42" s="85">
        <f t="shared" si="26"/>
        <v>28605</v>
      </c>
      <c r="AX42" s="85"/>
      <c r="AY42" s="82"/>
      <c r="AZ42" s="83"/>
      <c r="BA42" s="84"/>
      <c r="BB42" s="86">
        <f t="shared" si="17"/>
        <v>162765</v>
      </c>
      <c r="BC42" s="86">
        <f t="shared" si="18"/>
        <v>27127.5</v>
      </c>
      <c r="BD42" s="87">
        <f t="shared" si="4"/>
        <v>0</v>
      </c>
      <c r="BE42" s="73"/>
      <c r="BF42" s="347"/>
      <c r="BG42" s="73"/>
      <c r="BH42" s="73"/>
      <c r="BI42" s="97"/>
    </row>
    <row r="43" spans="1:61" s="73" customFormat="1">
      <c r="A43" s="57" t="s">
        <v>144</v>
      </c>
      <c r="B43" s="34" t="s">
        <v>35</v>
      </c>
      <c r="C43" s="34" t="s">
        <v>133</v>
      </c>
      <c r="D43" s="35" t="s">
        <v>145</v>
      </c>
      <c r="E43" s="58" t="s">
        <v>146</v>
      </c>
      <c r="F43" s="37">
        <v>27202</v>
      </c>
      <c r="G43" s="34" t="s">
        <v>82</v>
      </c>
      <c r="H43" s="34" t="s">
        <v>40</v>
      </c>
      <c r="I43" s="34">
        <v>10</v>
      </c>
      <c r="J43" s="34">
        <v>301</v>
      </c>
      <c r="K43" s="34">
        <f t="shared" si="0"/>
        <v>3010</v>
      </c>
      <c r="L43" s="38"/>
      <c r="M43" s="38" t="s">
        <v>42</v>
      </c>
      <c r="N43" s="34" t="s">
        <v>43</v>
      </c>
      <c r="O43" s="58" t="s">
        <v>44</v>
      </c>
      <c r="P43" s="39" t="s">
        <v>147</v>
      </c>
      <c r="Q43" s="59" t="s">
        <v>51</v>
      </c>
      <c r="R43" s="68"/>
      <c r="S43" s="44"/>
      <c r="T43" s="69"/>
      <c r="U43" s="44"/>
      <c r="V43" s="44"/>
      <c r="W43" s="44"/>
      <c r="X43" s="68"/>
      <c r="Y43" s="44"/>
      <c r="Z43" s="69"/>
      <c r="AA43" s="44"/>
      <c r="AB43" s="44"/>
      <c r="AC43" s="44"/>
      <c r="AD43" s="70"/>
      <c r="AE43" s="48"/>
      <c r="AF43" s="71"/>
      <c r="AG43" s="48"/>
      <c r="AH43" s="48"/>
      <c r="AI43" s="48"/>
      <c r="AJ43" s="70">
        <f t="shared" ref="AJ43:AL45" si="27">AD43+AG43</f>
        <v>0</v>
      </c>
      <c r="AK43" s="48">
        <f t="shared" si="27"/>
        <v>0</v>
      </c>
      <c r="AL43" s="71">
        <f t="shared" si="27"/>
        <v>0</v>
      </c>
      <c r="AM43" s="70"/>
      <c r="AN43" s="48"/>
      <c r="AO43" s="71"/>
      <c r="AP43" s="49">
        <v>5015</v>
      </c>
      <c r="AQ43" s="49">
        <v>5765</v>
      </c>
      <c r="AR43" s="49"/>
      <c r="AS43" s="60">
        <v>384</v>
      </c>
      <c r="AT43" s="49">
        <v>103</v>
      </c>
      <c r="AU43" s="61"/>
      <c r="AV43" s="53">
        <f t="shared" ref="AV43:AX44" si="28">AP43+AS43</f>
        <v>5399</v>
      </c>
      <c r="AW43" s="53">
        <f t="shared" si="28"/>
        <v>5868</v>
      </c>
      <c r="AX43" s="53">
        <f t="shared" si="28"/>
        <v>0</v>
      </c>
      <c r="AY43" s="60">
        <v>72</v>
      </c>
      <c r="AZ43" s="49">
        <v>74</v>
      </c>
      <c r="BA43" s="61"/>
      <c r="BB43" s="54">
        <f t="shared" si="17"/>
        <v>32863</v>
      </c>
      <c r="BC43" s="54">
        <f t="shared" si="18"/>
        <v>5477.166666666667</v>
      </c>
      <c r="BD43" s="62">
        <f t="shared" si="4"/>
        <v>434</v>
      </c>
      <c r="BE43" s="56"/>
      <c r="BF43" s="330"/>
      <c r="BG43" s="56"/>
      <c r="BH43" s="56"/>
      <c r="BI43" s="101"/>
    </row>
    <row r="44" spans="1:61" s="56" customFormat="1">
      <c r="A44" s="57" t="s">
        <v>148</v>
      </c>
      <c r="B44" s="34" t="s">
        <v>35</v>
      </c>
      <c r="C44" s="34" t="s">
        <v>133</v>
      </c>
      <c r="D44" s="35" t="s">
        <v>145</v>
      </c>
      <c r="E44" s="58" t="s">
        <v>149</v>
      </c>
      <c r="F44" s="37">
        <v>200600</v>
      </c>
      <c r="G44" s="34" t="s">
        <v>68</v>
      </c>
      <c r="H44" s="34" t="s">
        <v>40</v>
      </c>
      <c r="I44" s="34">
        <v>10</v>
      </c>
      <c r="J44" s="34">
        <v>301</v>
      </c>
      <c r="K44" s="34">
        <f t="shared" si="0"/>
        <v>3010</v>
      </c>
      <c r="L44" s="38"/>
      <c r="M44" s="38" t="s">
        <v>42</v>
      </c>
      <c r="N44" s="34" t="s">
        <v>64</v>
      </c>
      <c r="O44" s="58" t="s">
        <v>44</v>
      </c>
      <c r="P44" s="39" t="s">
        <v>147</v>
      </c>
      <c r="Q44" s="59" t="s">
        <v>51</v>
      </c>
      <c r="R44" s="60"/>
      <c r="S44" s="49"/>
      <c r="T44" s="61"/>
      <c r="U44" s="49"/>
      <c r="V44" s="49"/>
      <c r="W44" s="49"/>
      <c r="X44" s="60"/>
      <c r="Y44" s="49"/>
      <c r="Z44" s="61"/>
      <c r="AA44" s="49"/>
      <c r="AB44" s="49"/>
      <c r="AC44" s="49"/>
      <c r="AD44" s="60"/>
      <c r="AE44" s="49"/>
      <c r="AF44" s="61"/>
      <c r="AG44" s="49"/>
      <c r="AH44" s="49"/>
      <c r="AI44" s="49"/>
      <c r="AJ44" s="60">
        <f t="shared" si="27"/>
        <v>0</v>
      </c>
      <c r="AK44" s="49">
        <f t="shared" si="27"/>
        <v>0</v>
      </c>
      <c r="AL44" s="61">
        <f t="shared" si="27"/>
        <v>0</v>
      </c>
      <c r="AM44" s="60"/>
      <c r="AN44" s="49"/>
      <c r="AO44" s="61"/>
      <c r="AP44" s="49">
        <v>16903</v>
      </c>
      <c r="AQ44" s="49">
        <v>28709</v>
      </c>
      <c r="AR44" s="49"/>
      <c r="AS44" s="60">
        <v>10810</v>
      </c>
      <c r="AT44" s="49">
        <v>7954</v>
      </c>
      <c r="AU44" s="61"/>
      <c r="AV44" s="53">
        <f t="shared" si="28"/>
        <v>27713</v>
      </c>
      <c r="AW44" s="53">
        <f t="shared" si="28"/>
        <v>36663</v>
      </c>
      <c r="AX44" s="53">
        <f t="shared" si="28"/>
        <v>0</v>
      </c>
      <c r="AY44" s="60">
        <f>1295+761+6439</f>
        <v>8495</v>
      </c>
      <c r="AZ44" s="49">
        <f>1266+757+6042</f>
        <v>8065</v>
      </c>
      <c r="BA44" s="61"/>
      <c r="BB44" s="54">
        <f t="shared" si="17"/>
        <v>175228</v>
      </c>
      <c r="BC44" s="54">
        <f t="shared" si="18"/>
        <v>29204.666666666668</v>
      </c>
      <c r="BD44" s="62">
        <f t="shared" si="4"/>
        <v>50540</v>
      </c>
      <c r="BF44" s="330"/>
    </row>
    <row r="45" spans="1:61" s="56" customFormat="1">
      <c r="A45" s="57" t="s">
        <v>150</v>
      </c>
      <c r="B45" s="34" t="s">
        <v>35</v>
      </c>
      <c r="C45" s="34" t="s">
        <v>133</v>
      </c>
      <c r="D45" s="35" t="s">
        <v>151</v>
      </c>
      <c r="E45" s="58" t="s">
        <v>152</v>
      </c>
      <c r="F45" s="37">
        <v>413700</v>
      </c>
      <c r="G45" s="34" t="s">
        <v>68</v>
      </c>
      <c r="H45" s="34" t="s">
        <v>40</v>
      </c>
      <c r="I45" s="34"/>
      <c r="J45" s="34"/>
      <c r="K45" s="34">
        <f t="shared" si="0"/>
        <v>0</v>
      </c>
      <c r="L45" s="38" t="s">
        <v>153</v>
      </c>
      <c r="M45" s="38" t="s">
        <v>42</v>
      </c>
      <c r="N45" s="34" t="s">
        <v>43</v>
      </c>
      <c r="O45" s="58" t="s">
        <v>44</v>
      </c>
      <c r="P45" s="39" t="s">
        <v>154</v>
      </c>
      <c r="Q45" s="59" t="s">
        <v>46</v>
      </c>
      <c r="R45" s="68">
        <f>81783+17912+3972</f>
        <v>103667</v>
      </c>
      <c r="S45" s="44">
        <f>85992+16521+3638</f>
        <v>106151</v>
      </c>
      <c r="T45" s="69">
        <f>71920+16520+3471</f>
        <v>91911</v>
      </c>
      <c r="U45" s="44">
        <v>97</v>
      </c>
      <c r="V45" s="44">
        <v>82</v>
      </c>
      <c r="W45" s="44">
        <v>90</v>
      </c>
      <c r="X45" s="68">
        <f>R45+U45</f>
        <v>103764</v>
      </c>
      <c r="Y45" s="44">
        <f>S45+V45</f>
        <v>106233</v>
      </c>
      <c r="Z45" s="69"/>
      <c r="AA45" s="44">
        <f>522+895+16514</f>
        <v>17931</v>
      </c>
      <c r="AB45" s="44">
        <f>522+895+16514</f>
        <v>17931</v>
      </c>
      <c r="AC45" s="44">
        <f>522+895+16514</f>
        <v>17931</v>
      </c>
      <c r="AD45" s="70">
        <v>74612</v>
      </c>
      <c r="AE45" s="48">
        <v>80584</v>
      </c>
      <c r="AF45" s="71"/>
      <c r="AG45" s="48">
        <v>14281</v>
      </c>
      <c r="AH45" s="48">
        <v>4662</v>
      </c>
      <c r="AI45" s="48"/>
      <c r="AJ45" s="70">
        <f t="shared" si="27"/>
        <v>88893</v>
      </c>
      <c r="AK45" s="48">
        <f t="shared" si="27"/>
        <v>85246</v>
      </c>
      <c r="AL45" s="71">
        <f t="shared" si="27"/>
        <v>0</v>
      </c>
      <c r="AM45" s="70">
        <f>9779+292</f>
        <v>10071</v>
      </c>
      <c r="AN45" s="48">
        <f>1457+312</f>
        <v>1769</v>
      </c>
      <c r="AO45" s="71"/>
      <c r="AP45" s="49">
        <f>AVERAGE(R45,AD45)</f>
        <v>89139.5</v>
      </c>
      <c r="AQ45" s="49">
        <f>AVERAGE(S45,AE45)</f>
        <v>93367.5</v>
      </c>
      <c r="AR45" s="49"/>
      <c r="AS45" s="60">
        <f>AVERAGE(U45,AG45)</f>
        <v>7189</v>
      </c>
      <c r="AT45" s="49">
        <f>AVERAGE(V45,AH45)</f>
        <v>2372</v>
      </c>
      <c r="AU45" s="61"/>
      <c r="AV45" s="53">
        <f>AVERAGE(X45,AJ45)</f>
        <v>96328.5</v>
      </c>
      <c r="AW45" s="53">
        <f>AVERAGE(Y45,AK45)</f>
        <v>95739.5</v>
      </c>
      <c r="AX45" s="53">
        <f>AVERAGE(Z45,AL45)</f>
        <v>0</v>
      </c>
      <c r="AY45" s="60">
        <f>AVERAGE(AA45,AM45)</f>
        <v>14001</v>
      </c>
      <c r="AZ45" s="49">
        <f>AVERAGE(AB45,AN45)</f>
        <v>9850</v>
      </c>
      <c r="BA45" s="61"/>
      <c r="BB45" s="54">
        <f t="shared" si="17"/>
        <v>577382</v>
      </c>
      <c r="BC45" s="54">
        <f t="shared" si="18"/>
        <v>96230.333333333328</v>
      </c>
      <c r="BD45" s="62">
        <f t="shared" si="4"/>
        <v>79855</v>
      </c>
      <c r="BF45" s="330"/>
    </row>
    <row r="46" spans="1:61" s="56" customFormat="1">
      <c r="A46" s="57" t="s">
        <v>155</v>
      </c>
      <c r="B46" s="34" t="s">
        <v>35</v>
      </c>
      <c r="C46" s="34" t="s">
        <v>133</v>
      </c>
      <c r="D46" s="35" t="s">
        <v>151</v>
      </c>
      <c r="E46" s="58" t="s">
        <v>152</v>
      </c>
      <c r="F46" s="37">
        <v>413700</v>
      </c>
      <c r="G46" s="34" t="s">
        <v>68</v>
      </c>
      <c r="H46" s="34" t="s">
        <v>47</v>
      </c>
      <c r="I46" s="34">
        <v>6</v>
      </c>
      <c r="J46" s="34">
        <v>175</v>
      </c>
      <c r="K46" s="34">
        <f t="shared" si="0"/>
        <v>1050</v>
      </c>
      <c r="L46" s="34"/>
      <c r="M46" s="34" t="s">
        <v>53</v>
      </c>
      <c r="N46" s="34" t="s">
        <v>43</v>
      </c>
      <c r="O46" s="58" t="s">
        <v>54</v>
      </c>
      <c r="P46" s="39" t="s">
        <v>156</v>
      </c>
      <c r="Q46" s="59" t="s">
        <v>51</v>
      </c>
      <c r="R46" s="283"/>
      <c r="S46" s="284"/>
      <c r="T46" s="285"/>
      <c r="U46" s="284"/>
      <c r="V46" s="284"/>
      <c r="W46" s="284"/>
      <c r="X46" s="283"/>
      <c r="Y46" s="284"/>
      <c r="Z46" s="285"/>
      <c r="AA46" s="284"/>
      <c r="AB46" s="284"/>
      <c r="AC46" s="284"/>
      <c r="AD46" s="286"/>
      <c r="AE46" s="287"/>
      <c r="AF46" s="288"/>
      <c r="AG46" s="287"/>
      <c r="AH46" s="287"/>
      <c r="AI46" s="287"/>
      <c r="AJ46" s="286"/>
      <c r="AK46" s="287"/>
      <c r="AL46" s="288"/>
      <c r="AM46" s="286"/>
      <c r="AN46" s="287"/>
      <c r="AO46" s="288"/>
      <c r="AP46" s="34"/>
      <c r="AQ46" s="34"/>
      <c r="AR46" s="34"/>
      <c r="AS46" s="60">
        <v>44332</v>
      </c>
      <c r="AT46" s="49"/>
      <c r="AU46" s="61"/>
      <c r="AV46" s="53">
        <f t="shared" ref="AV46:AX63" si="29">AP46+AS46</f>
        <v>44332</v>
      </c>
      <c r="AW46" s="53">
        <f t="shared" si="29"/>
        <v>0</v>
      </c>
      <c r="AX46" s="53"/>
      <c r="AY46" s="35"/>
      <c r="AZ46" s="34"/>
      <c r="BA46" s="64"/>
      <c r="BB46" s="54">
        <f t="shared" si="17"/>
        <v>221660</v>
      </c>
      <c r="BC46" s="54">
        <f t="shared" si="18"/>
        <v>44332</v>
      </c>
      <c r="BD46" s="62">
        <f t="shared" si="4"/>
        <v>0</v>
      </c>
      <c r="BE46" s="387"/>
      <c r="BF46" s="58"/>
      <c r="BG46" s="66">
        <v>2008</v>
      </c>
      <c r="BH46" s="103" t="s">
        <v>157</v>
      </c>
    </row>
    <row r="47" spans="1:61" s="73" customFormat="1">
      <c r="A47" s="57" t="s">
        <v>158</v>
      </c>
      <c r="B47" s="34" t="s">
        <v>35</v>
      </c>
      <c r="C47" s="34" t="s">
        <v>133</v>
      </c>
      <c r="D47" s="35" t="s">
        <v>151</v>
      </c>
      <c r="E47" s="58" t="s">
        <v>159</v>
      </c>
      <c r="F47" s="37">
        <v>35809</v>
      </c>
      <c r="G47" s="34" t="s">
        <v>82</v>
      </c>
      <c r="H47" s="34" t="s">
        <v>47</v>
      </c>
      <c r="I47" s="34">
        <v>8</v>
      </c>
      <c r="J47" s="34">
        <v>196</v>
      </c>
      <c r="K47" s="34">
        <f t="shared" si="0"/>
        <v>1568</v>
      </c>
      <c r="L47" s="38"/>
      <c r="M47" s="38" t="s">
        <v>42</v>
      </c>
      <c r="N47" s="34" t="s">
        <v>64</v>
      </c>
      <c r="O47" s="58" t="s">
        <v>44</v>
      </c>
      <c r="P47" s="39" t="s">
        <v>147</v>
      </c>
      <c r="Q47" s="59" t="s">
        <v>84</v>
      </c>
      <c r="R47" s="68"/>
      <c r="S47" s="44"/>
      <c r="T47" s="69"/>
      <c r="U47" s="44"/>
      <c r="V47" s="44"/>
      <c r="W47" s="44"/>
      <c r="X47" s="68"/>
      <c r="Y47" s="44"/>
      <c r="Z47" s="69"/>
      <c r="AA47" s="44"/>
      <c r="AB47" s="44"/>
      <c r="AC47" s="44"/>
      <c r="AD47" s="70"/>
      <c r="AE47" s="48"/>
      <c r="AF47" s="71"/>
      <c r="AG47" s="48"/>
      <c r="AH47" s="48"/>
      <c r="AI47" s="48"/>
      <c r="AJ47" s="70">
        <f t="shared" ref="AJ47:AL62" si="30">AD47+AG47</f>
        <v>0</v>
      </c>
      <c r="AK47" s="48">
        <f t="shared" si="30"/>
        <v>0</v>
      </c>
      <c r="AL47" s="71">
        <f t="shared" si="30"/>
        <v>0</v>
      </c>
      <c r="AM47" s="70"/>
      <c r="AN47" s="48"/>
      <c r="AO47" s="71"/>
      <c r="AP47" s="49">
        <v>4617</v>
      </c>
      <c r="AQ47" s="49">
        <v>4617</v>
      </c>
      <c r="AR47" s="49">
        <v>0</v>
      </c>
      <c r="AS47" s="60">
        <v>1139</v>
      </c>
      <c r="AT47" s="49">
        <v>1139</v>
      </c>
      <c r="AU47" s="61">
        <v>0</v>
      </c>
      <c r="AV47" s="53">
        <f t="shared" si="29"/>
        <v>5756</v>
      </c>
      <c r="AW47" s="53">
        <f t="shared" si="29"/>
        <v>5756</v>
      </c>
      <c r="AX47" s="53">
        <f t="shared" si="29"/>
        <v>0</v>
      </c>
      <c r="AY47" s="60"/>
      <c r="AZ47" s="49"/>
      <c r="BA47" s="61"/>
      <c r="BB47" s="54">
        <f t="shared" si="17"/>
        <v>34536</v>
      </c>
      <c r="BC47" s="54">
        <f t="shared" si="18"/>
        <v>5756</v>
      </c>
      <c r="BD47" s="62">
        <f t="shared" si="4"/>
        <v>0</v>
      </c>
      <c r="BE47" s="56"/>
      <c r="BF47" s="330" t="s">
        <v>559</v>
      </c>
      <c r="BG47" s="56"/>
      <c r="BH47" s="56"/>
      <c r="BI47" s="56"/>
    </row>
    <row r="48" spans="1:61" s="101" customFormat="1">
      <c r="A48" s="57" t="s">
        <v>160</v>
      </c>
      <c r="B48" s="34" t="s">
        <v>35</v>
      </c>
      <c r="C48" s="34" t="s">
        <v>133</v>
      </c>
      <c r="D48" s="35" t="s">
        <v>151</v>
      </c>
      <c r="E48" s="58" t="s">
        <v>161</v>
      </c>
      <c r="F48" s="37">
        <v>14135</v>
      </c>
      <c r="G48" s="34" t="s">
        <v>82</v>
      </c>
      <c r="H48" s="34" t="s">
        <v>40</v>
      </c>
      <c r="I48" s="34">
        <v>10</v>
      </c>
      <c r="J48" s="34">
        <v>301</v>
      </c>
      <c r="K48" s="34">
        <f t="shared" si="0"/>
        <v>3010</v>
      </c>
      <c r="L48" s="38"/>
      <c r="M48" s="38" t="s">
        <v>42</v>
      </c>
      <c r="N48" s="34" t="s">
        <v>43</v>
      </c>
      <c r="O48" s="58" t="s">
        <v>44</v>
      </c>
      <c r="P48" s="39" t="s">
        <v>147</v>
      </c>
      <c r="Q48" s="59" t="s">
        <v>51</v>
      </c>
      <c r="R48" s="68"/>
      <c r="S48" s="44"/>
      <c r="T48" s="69"/>
      <c r="U48" s="44"/>
      <c r="V48" s="44"/>
      <c r="W48" s="44"/>
      <c r="X48" s="68"/>
      <c r="Y48" s="44"/>
      <c r="Z48" s="69"/>
      <c r="AA48" s="44"/>
      <c r="AB48" s="44"/>
      <c r="AC48" s="44"/>
      <c r="AD48" s="70"/>
      <c r="AE48" s="48"/>
      <c r="AF48" s="71"/>
      <c r="AG48" s="48"/>
      <c r="AH48" s="48"/>
      <c r="AI48" s="48"/>
      <c r="AJ48" s="70">
        <f t="shared" si="30"/>
        <v>0</v>
      </c>
      <c r="AK48" s="48">
        <f t="shared" si="30"/>
        <v>0</v>
      </c>
      <c r="AL48" s="71">
        <f t="shared" si="30"/>
        <v>0</v>
      </c>
      <c r="AM48" s="70"/>
      <c r="AN48" s="48"/>
      <c r="AO48" s="71"/>
      <c r="AP48" s="49">
        <v>17890</v>
      </c>
      <c r="AQ48" s="49">
        <v>18617</v>
      </c>
      <c r="AR48" s="49"/>
      <c r="AS48" s="60">
        <v>2241</v>
      </c>
      <c r="AT48" s="49">
        <v>309</v>
      </c>
      <c r="AU48" s="61"/>
      <c r="AV48" s="53">
        <f t="shared" si="29"/>
        <v>20131</v>
      </c>
      <c r="AW48" s="53">
        <f t="shared" si="29"/>
        <v>18926</v>
      </c>
      <c r="AX48" s="53">
        <f t="shared" si="29"/>
        <v>0</v>
      </c>
      <c r="AY48" s="60">
        <v>344</v>
      </c>
      <c r="AZ48" s="49">
        <v>344</v>
      </c>
      <c r="BA48" s="61"/>
      <c r="BB48" s="54">
        <f t="shared" si="17"/>
        <v>119581</v>
      </c>
      <c r="BC48" s="54">
        <f t="shared" si="18"/>
        <v>19930.166666666668</v>
      </c>
      <c r="BD48" s="62">
        <f t="shared" si="4"/>
        <v>2064</v>
      </c>
      <c r="BE48" s="56"/>
      <c r="BF48" s="330"/>
      <c r="BG48" s="56"/>
      <c r="BH48" s="56"/>
      <c r="BI48" s="56"/>
    </row>
    <row r="49" spans="1:61" s="56" customFormat="1">
      <c r="A49" s="57" t="s">
        <v>162</v>
      </c>
      <c r="B49" s="34" t="s">
        <v>35</v>
      </c>
      <c r="C49" s="34" t="s">
        <v>133</v>
      </c>
      <c r="D49" s="35" t="s">
        <v>151</v>
      </c>
      <c r="E49" s="58" t="s">
        <v>163</v>
      </c>
      <c r="F49" s="37">
        <v>45888</v>
      </c>
      <c r="G49" s="34" t="s">
        <v>82</v>
      </c>
      <c r="H49" s="34" t="s">
        <v>47</v>
      </c>
      <c r="I49" s="34">
        <v>8</v>
      </c>
      <c r="J49" s="34">
        <v>196</v>
      </c>
      <c r="K49" s="34">
        <f t="shared" si="0"/>
        <v>1568</v>
      </c>
      <c r="L49" s="38" t="s">
        <v>164</v>
      </c>
      <c r="M49" s="38" t="s">
        <v>42</v>
      </c>
      <c r="N49" s="34" t="s">
        <v>64</v>
      </c>
      <c r="O49" s="58" t="s">
        <v>44</v>
      </c>
      <c r="P49" s="39" t="s">
        <v>147</v>
      </c>
      <c r="Q49" s="59" t="s">
        <v>84</v>
      </c>
      <c r="R49" s="68"/>
      <c r="S49" s="44"/>
      <c r="T49" s="69"/>
      <c r="U49" s="44"/>
      <c r="V49" s="44"/>
      <c r="W49" s="44"/>
      <c r="X49" s="68"/>
      <c r="Y49" s="44"/>
      <c r="Z49" s="69"/>
      <c r="AA49" s="44"/>
      <c r="AB49" s="44"/>
      <c r="AC49" s="44"/>
      <c r="AD49" s="70"/>
      <c r="AE49" s="48"/>
      <c r="AF49" s="71"/>
      <c r="AG49" s="48"/>
      <c r="AH49" s="48"/>
      <c r="AI49" s="48"/>
      <c r="AJ49" s="70">
        <f t="shared" si="30"/>
        <v>0</v>
      </c>
      <c r="AK49" s="48">
        <f t="shared" si="30"/>
        <v>0</v>
      </c>
      <c r="AL49" s="71">
        <f t="shared" si="30"/>
        <v>0</v>
      </c>
      <c r="AM49" s="70"/>
      <c r="AN49" s="48"/>
      <c r="AO49" s="71"/>
      <c r="AP49" s="49">
        <v>4978</v>
      </c>
      <c r="AQ49" s="49">
        <v>4978</v>
      </c>
      <c r="AR49" s="49">
        <v>0</v>
      </c>
      <c r="AS49" s="60">
        <v>0</v>
      </c>
      <c r="AT49" s="49">
        <v>0</v>
      </c>
      <c r="AU49" s="61">
        <v>0</v>
      </c>
      <c r="AV49" s="53">
        <f t="shared" si="29"/>
        <v>4978</v>
      </c>
      <c r="AW49" s="53">
        <f t="shared" si="29"/>
        <v>4978</v>
      </c>
      <c r="AX49" s="53">
        <f t="shared" si="29"/>
        <v>0</v>
      </c>
      <c r="AY49" s="60"/>
      <c r="AZ49" s="49"/>
      <c r="BA49" s="61"/>
      <c r="BB49" s="54">
        <f t="shared" si="17"/>
        <v>29868</v>
      </c>
      <c r="BC49" s="54">
        <f t="shared" si="18"/>
        <v>4978</v>
      </c>
      <c r="BD49" s="62">
        <f t="shared" si="4"/>
        <v>0</v>
      </c>
      <c r="BF49" s="330" t="s">
        <v>560</v>
      </c>
    </row>
    <row r="50" spans="1:61" s="73" customFormat="1">
      <c r="A50" s="350" t="s">
        <v>480</v>
      </c>
      <c r="B50" s="75" t="s">
        <v>35</v>
      </c>
      <c r="C50" s="75" t="s">
        <v>165</v>
      </c>
      <c r="D50" s="76" t="s">
        <v>166</v>
      </c>
      <c r="E50" s="77" t="s">
        <v>167</v>
      </c>
      <c r="F50" s="78">
        <v>196000</v>
      </c>
      <c r="G50" s="75" t="s">
        <v>68</v>
      </c>
      <c r="H50" s="75" t="s">
        <v>40</v>
      </c>
      <c r="I50" s="75">
        <v>10</v>
      </c>
      <c r="J50" s="75">
        <v>287</v>
      </c>
      <c r="K50" s="75">
        <f t="shared" si="0"/>
        <v>2870</v>
      </c>
      <c r="L50" s="79"/>
      <c r="M50" s="38" t="s">
        <v>42</v>
      </c>
      <c r="N50" s="75" t="s">
        <v>64</v>
      </c>
      <c r="O50" s="77" t="s">
        <v>44</v>
      </c>
      <c r="P50" s="80" t="s">
        <v>50</v>
      </c>
      <c r="Q50" s="81" t="s">
        <v>51</v>
      </c>
      <c r="R50" s="82"/>
      <c r="S50" s="83"/>
      <c r="T50" s="84"/>
      <c r="U50" s="83"/>
      <c r="V50" s="83"/>
      <c r="W50" s="83"/>
      <c r="X50" s="82"/>
      <c r="Y50" s="83"/>
      <c r="Z50" s="84"/>
      <c r="AA50" s="83"/>
      <c r="AB50" s="83"/>
      <c r="AC50" s="83"/>
      <c r="AD50" s="82"/>
      <c r="AE50" s="83"/>
      <c r="AF50" s="84"/>
      <c r="AG50" s="83"/>
      <c r="AH50" s="83"/>
      <c r="AI50" s="83"/>
      <c r="AJ50" s="82">
        <f t="shared" si="30"/>
        <v>0</v>
      </c>
      <c r="AK50" s="83">
        <f t="shared" si="30"/>
        <v>0</v>
      </c>
      <c r="AL50" s="84">
        <f t="shared" si="30"/>
        <v>0</v>
      </c>
      <c r="AM50" s="82"/>
      <c r="AN50" s="83"/>
      <c r="AO50" s="84"/>
      <c r="AP50" s="83">
        <f>(6050+6041+8054+6065)/4</f>
        <v>6552.5</v>
      </c>
      <c r="AQ50" s="83">
        <v>5974</v>
      </c>
      <c r="AR50" s="83"/>
      <c r="AS50" s="82">
        <v>0</v>
      </c>
      <c r="AT50" s="83">
        <v>0</v>
      </c>
      <c r="AU50" s="297">
        <v>44729</v>
      </c>
      <c r="AV50" s="85">
        <f t="shared" si="29"/>
        <v>6552.5</v>
      </c>
      <c r="AW50" s="85">
        <f t="shared" si="29"/>
        <v>5974</v>
      </c>
      <c r="AX50" s="296">
        <f t="shared" si="29"/>
        <v>44729</v>
      </c>
      <c r="AY50" s="82"/>
      <c r="AZ50" s="83"/>
      <c r="BA50" s="84"/>
      <c r="BB50" s="86">
        <f>(AV50*5)+AW50+AX50</f>
        <v>83465.5</v>
      </c>
      <c r="BC50" s="86">
        <f t="shared" ref="BC50:BC55" si="31">IF($O50="M-Sa",(BB50/6),IF($O50="m-su",(BB50/7),IF($O50="M-F",(BB50/5),IF($O50="T-Su",(BB50/6),IF($O50="T-Sa",(BB50/5),IF($O50="T-F",(BB50/4),IF($O50="Su-F",(BB50/6),(BB50/7))))))))</f>
        <v>13910.916666666666</v>
      </c>
      <c r="BD50" s="87">
        <f t="shared" si="4"/>
        <v>0</v>
      </c>
      <c r="BF50" s="347" t="s">
        <v>561</v>
      </c>
    </row>
    <row r="51" spans="1:61" s="56" customFormat="1">
      <c r="A51" s="57" t="s">
        <v>481</v>
      </c>
      <c r="B51" s="34" t="s">
        <v>35</v>
      </c>
      <c r="C51" s="34" t="s">
        <v>165</v>
      </c>
      <c r="D51" s="35" t="s">
        <v>166</v>
      </c>
      <c r="E51" s="58" t="s">
        <v>168</v>
      </c>
      <c r="F51" s="37">
        <v>92540</v>
      </c>
      <c r="G51" s="34" t="s">
        <v>63</v>
      </c>
      <c r="H51" s="34" t="s">
        <v>40</v>
      </c>
      <c r="I51" s="34">
        <v>10</v>
      </c>
      <c r="J51" s="34">
        <v>301</v>
      </c>
      <c r="K51" s="34">
        <f t="shared" si="0"/>
        <v>3010</v>
      </c>
      <c r="L51" s="38"/>
      <c r="M51" s="38" t="s">
        <v>42</v>
      </c>
      <c r="N51" s="34" t="s">
        <v>64</v>
      </c>
      <c r="O51" s="58" t="s">
        <v>44</v>
      </c>
      <c r="P51" s="39" t="s">
        <v>50</v>
      </c>
      <c r="Q51" s="59" t="s">
        <v>51</v>
      </c>
      <c r="R51" s="68"/>
      <c r="S51" s="44"/>
      <c r="T51" s="69"/>
      <c r="U51" s="44"/>
      <c r="V51" s="44"/>
      <c r="W51" s="44"/>
      <c r="X51" s="68"/>
      <c r="Y51" s="44"/>
      <c r="Z51" s="69"/>
      <c r="AA51" s="44"/>
      <c r="AB51" s="44"/>
      <c r="AC51" s="44"/>
      <c r="AD51" s="70"/>
      <c r="AE51" s="48"/>
      <c r="AF51" s="71"/>
      <c r="AG51" s="48"/>
      <c r="AH51" s="48"/>
      <c r="AI51" s="48"/>
      <c r="AJ51" s="70">
        <f t="shared" si="30"/>
        <v>0</v>
      </c>
      <c r="AK51" s="48">
        <f t="shared" si="30"/>
        <v>0</v>
      </c>
      <c r="AL51" s="71">
        <f t="shared" si="30"/>
        <v>0</v>
      </c>
      <c r="AM51" s="70"/>
      <c r="AN51" s="48"/>
      <c r="AO51" s="71"/>
      <c r="AP51" s="49">
        <v>7631</v>
      </c>
      <c r="AQ51" s="49">
        <v>7824</v>
      </c>
      <c r="AR51" s="49">
        <v>0</v>
      </c>
      <c r="AS51" s="60">
        <v>320</v>
      </c>
      <c r="AT51" s="49">
        <v>311</v>
      </c>
      <c r="AU51" s="61">
        <v>0</v>
      </c>
      <c r="AV51" s="53">
        <f t="shared" si="29"/>
        <v>7951</v>
      </c>
      <c r="AW51" s="53">
        <f t="shared" si="29"/>
        <v>8135</v>
      </c>
      <c r="AX51" s="53">
        <f t="shared" si="29"/>
        <v>0</v>
      </c>
      <c r="AY51" s="60">
        <f>170+120+104</f>
        <v>394</v>
      </c>
      <c r="AZ51" s="49">
        <f>181+126+108</f>
        <v>415</v>
      </c>
      <c r="BA51" s="61"/>
      <c r="BB51" s="54">
        <f>IF($O51="M-Sa",(AV51*5)+AW51+AX51,IF($O51="m-su",(AV51*5)+AW51+AX51,IF($O51="M-F",(AV51*5),IF($O51="T-Su",(AV51*4)+AW51+AX51,IF($O51="T-Sa",(AV51*4)+AW51,IF($O51="T-F",(AV51*4),IF($O51="Su-F",(AV51*5)+AW51+AX51,(AV51*5+AW51+AX51))))))))</f>
        <v>47890</v>
      </c>
      <c r="BC51" s="54">
        <f t="shared" si="31"/>
        <v>7981.666666666667</v>
      </c>
      <c r="BD51" s="62">
        <f t="shared" si="4"/>
        <v>2385</v>
      </c>
      <c r="BE51" s="400" t="s">
        <v>85</v>
      </c>
      <c r="BF51" s="401" t="s">
        <v>85</v>
      </c>
      <c r="BG51" s="400"/>
      <c r="BH51" s="400" t="s">
        <v>85</v>
      </c>
    </row>
    <row r="52" spans="1:61" s="101" customFormat="1">
      <c r="A52" s="57" t="s">
        <v>482</v>
      </c>
      <c r="B52" s="34" t="s">
        <v>35</v>
      </c>
      <c r="C52" s="34" t="s">
        <v>165</v>
      </c>
      <c r="D52" s="35" t="s">
        <v>166</v>
      </c>
      <c r="E52" s="58" t="s">
        <v>169</v>
      </c>
      <c r="F52" s="37">
        <v>140500</v>
      </c>
      <c r="G52" s="34" t="s">
        <v>68</v>
      </c>
      <c r="H52" s="34" t="s">
        <v>40</v>
      </c>
      <c r="I52" s="34">
        <v>10</v>
      </c>
      <c r="J52" s="34">
        <v>302</v>
      </c>
      <c r="K52" s="34">
        <f t="shared" si="0"/>
        <v>3020</v>
      </c>
      <c r="L52" s="38"/>
      <c r="M52" s="38" t="s">
        <v>42</v>
      </c>
      <c r="N52" s="34" t="s">
        <v>43</v>
      </c>
      <c r="O52" s="58" t="s">
        <v>44</v>
      </c>
      <c r="P52" s="39" t="s">
        <v>50</v>
      </c>
      <c r="Q52" s="59" t="s">
        <v>51</v>
      </c>
      <c r="R52" s="68"/>
      <c r="S52" s="44"/>
      <c r="T52" s="69"/>
      <c r="U52" s="44"/>
      <c r="V52" s="44"/>
      <c r="W52" s="44"/>
      <c r="X52" s="68"/>
      <c r="Y52" s="44"/>
      <c r="Z52" s="69"/>
      <c r="AA52" s="44"/>
      <c r="AB52" s="44"/>
      <c r="AC52" s="44"/>
      <c r="AD52" s="70"/>
      <c r="AE52" s="48"/>
      <c r="AF52" s="71"/>
      <c r="AG52" s="48"/>
      <c r="AH52" s="48"/>
      <c r="AI52" s="48"/>
      <c r="AJ52" s="70">
        <f t="shared" si="30"/>
        <v>0</v>
      </c>
      <c r="AK52" s="48">
        <f t="shared" si="30"/>
        <v>0</v>
      </c>
      <c r="AL52" s="71">
        <f t="shared" si="30"/>
        <v>0</v>
      </c>
      <c r="AM52" s="70"/>
      <c r="AN52" s="48"/>
      <c r="AO52" s="71"/>
      <c r="AP52" s="49">
        <v>13677</v>
      </c>
      <c r="AQ52" s="49">
        <v>14222</v>
      </c>
      <c r="AR52" s="49"/>
      <c r="AS52" s="60">
        <v>8391</v>
      </c>
      <c r="AT52" s="49">
        <v>578</v>
      </c>
      <c r="AU52" s="61"/>
      <c r="AV52" s="53">
        <f t="shared" si="29"/>
        <v>22068</v>
      </c>
      <c r="AW52" s="53">
        <f t="shared" si="29"/>
        <v>14800</v>
      </c>
      <c r="AX52" s="53">
        <f t="shared" si="29"/>
        <v>0</v>
      </c>
      <c r="AY52" s="60">
        <f>255+174+70</f>
        <v>499</v>
      </c>
      <c r="AZ52" s="49">
        <f>265+181+59</f>
        <v>505</v>
      </c>
      <c r="BA52" s="61"/>
      <c r="BB52" s="54">
        <f>IF($O52="M-Sa",(AV52*5)+AW52+AX52,IF($O52="m-su",(AV52*5)+AW52+AX52,IF($O52="M-F",(AV52*5),IF($O52="T-Su",(AV52*4)+AW52+AX52,IF($O52="T-Sa",(AV52*4)+AW52,IF($O52="T-F",(AV52*4),IF($O52="Su-F",(AV52*5)+AW52+AX52,(AV52*5+AW52+AX52))))))))</f>
        <v>125140</v>
      </c>
      <c r="BC52" s="54">
        <f t="shared" si="31"/>
        <v>20856.666666666668</v>
      </c>
      <c r="BD52" s="62">
        <f t="shared" si="4"/>
        <v>3000</v>
      </c>
      <c r="BE52" s="56"/>
      <c r="BF52" s="330"/>
      <c r="BG52" s="56"/>
      <c r="BH52" s="56"/>
      <c r="BI52" s="56"/>
    </row>
    <row r="53" spans="1:61" s="73" customFormat="1">
      <c r="A53" s="88" t="s">
        <v>483</v>
      </c>
      <c r="B53" s="75" t="s">
        <v>35</v>
      </c>
      <c r="C53" s="75" t="s">
        <v>165</v>
      </c>
      <c r="D53" s="76" t="s">
        <v>166</v>
      </c>
      <c r="E53" s="77" t="s">
        <v>170</v>
      </c>
      <c r="F53" s="78">
        <v>39027</v>
      </c>
      <c r="G53" s="75" t="s">
        <v>82</v>
      </c>
      <c r="H53" s="75" t="s">
        <v>40</v>
      </c>
      <c r="I53" s="75">
        <v>10</v>
      </c>
      <c r="J53" s="75">
        <v>300</v>
      </c>
      <c r="K53" s="75">
        <f t="shared" si="0"/>
        <v>3000</v>
      </c>
      <c r="L53" s="79"/>
      <c r="M53" s="38" t="s">
        <v>42</v>
      </c>
      <c r="N53" s="75" t="s">
        <v>64</v>
      </c>
      <c r="O53" s="77" t="s">
        <v>171</v>
      </c>
      <c r="P53" s="80" t="s">
        <v>50</v>
      </c>
      <c r="Q53" s="81" t="s">
        <v>84</v>
      </c>
      <c r="R53" s="82"/>
      <c r="S53" s="83"/>
      <c r="T53" s="84"/>
      <c r="U53" s="83"/>
      <c r="V53" s="83"/>
      <c r="W53" s="83"/>
      <c r="X53" s="82"/>
      <c r="Y53" s="83"/>
      <c r="Z53" s="84"/>
      <c r="AA53" s="83"/>
      <c r="AB53" s="83"/>
      <c r="AC53" s="83"/>
      <c r="AD53" s="82"/>
      <c r="AE53" s="83"/>
      <c r="AF53" s="84"/>
      <c r="AG53" s="83"/>
      <c r="AH53" s="83"/>
      <c r="AI53" s="83"/>
      <c r="AJ53" s="82">
        <f t="shared" si="30"/>
        <v>0</v>
      </c>
      <c r="AK53" s="83">
        <f t="shared" si="30"/>
        <v>0</v>
      </c>
      <c r="AL53" s="84">
        <f t="shared" si="30"/>
        <v>0</v>
      </c>
      <c r="AM53" s="82"/>
      <c r="AN53" s="83"/>
      <c r="AO53" s="84"/>
      <c r="AP53" s="83">
        <v>9615</v>
      </c>
      <c r="AQ53" s="83">
        <v>9615</v>
      </c>
      <c r="AR53" s="83"/>
      <c r="AS53" s="82"/>
      <c r="AT53" s="83"/>
      <c r="AU53" s="84"/>
      <c r="AV53" s="85">
        <f t="shared" si="29"/>
        <v>9615</v>
      </c>
      <c r="AW53" s="85">
        <f t="shared" si="29"/>
        <v>9615</v>
      </c>
      <c r="AX53" s="85">
        <f t="shared" si="29"/>
        <v>0</v>
      </c>
      <c r="AY53" s="82"/>
      <c r="AZ53" s="83"/>
      <c r="BA53" s="84"/>
      <c r="BB53" s="86">
        <f>IF($O53="M-Sa",(AV53*5)+AW53+AX53,IF($O53="m-su",(AV53*5)+AW53+AX53,IF($O53="M-F",(AV53*5),IF($O53="T-Su",(AV53*4)+AW53+AX53,IF($O53="T-Sa",(AV53*4)+AW53,IF($O53="T-F",(AV53*4),IF($O53="Su-F",(AV53*5)+AW53+AX53,(AV53*5+AW53+AX53))))))))</f>
        <v>48075</v>
      </c>
      <c r="BC53" s="86">
        <f t="shared" si="31"/>
        <v>9615</v>
      </c>
      <c r="BD53" s="87">
        <f t="shared" si="4"/>
        <v>0</v>
      </c>
      <c r="BF53" s="347" t="s">
        <v>561</v>
      </c>
    </row>
    <row r="54" spans="1:61" s="101" customFormat="1">
      <c r="A54" s="57" t="s">
        <v>484</v>
      </c>
      <c r="B54" s="34" t="s">
        <v>35</v>
      </c>
      <c r="C54" s="34" t="s">
        <v>165</v>
      </c>
      <c r="D54" s="35" t="s">
        <v>166</v>
      </c>
      <c r="E54" s="58" t="s">
        <v>172</v>
      </c>
      <c r="F54" s="37">
        <v>104075</v>
      </c>
      <c r="G54" s="34" t="s">
        <v>68</v>
      </c>
      <c r="H54" s="34" t="s">
        <v>40</v>
      </c>
      <c r="I54" s="34">
        <v>10</v>
      </c>
      <c r="J54" s="34">
        <v>301</v>
      </c>
      <c r="K54" s="34">
        <f t="shared" si="0"/>
        <v>3010</v>
      </c>
      <c r="L54" s="38"/>
      <c r="M54" s="38" t="s">
        <v>42</v>
      </c>
      <c r="N54" s="34" t="s">
        <v>64</v>
      </c>
      <c r="O54" s="58" t="s">
        <v>44</v>
      </c>
      <c r="P54" s="39" t="s">
        <v>50</v>
      </c>
      <c r="Q54" s="59" t="s">
        <v>51</v>
      </c>
      <c r="R54" s="68"/>
      <c r="S54" s="44"/>
      <c r="T54" s="69"/>
      <c r="U54" s="44"/>
      <c r="V54" s="44"/>
      <c r="W54" s="44"/>
      <c r="X54" s="68"/>
      <c r="Y54" s="44"/>
      <c r="Z54" s="69"/>
      <c r="AA54" s="44"/>
      <c r="AB54" s="44"/>
      <c r="AC54" s="44"/>
      <c r="AD54" s="70"/>
      <c r="AE54" s="48"/>
      <c r="AF54" s="71"/>
      <c r="AG54" s="48"/>
      <c r="AH54" s="48"/>
      <c r="AI54" s="48"/>
      <c r="AJ54" s="70">
        <f t="shared" si="30"/>
        <v>0</v>
      </c>
      <c r="AK54" s="48">
        <f t="shared" si="30"/>
        <v>0</v>
      </c>
      <c r="AL54" s="71">
        <f t="shared" si="30"/>
        <v>0</v>
      </c>
      <c r="AM54" s="70"/>
      <c r="AN54" s="48"/>
      <c r="AO54" s="71"/>
      <c r="AP54" s="49">
        <v>6109</v>
      </c>
      <c r="AQ54" s="49">
        <v>6190</v>
      </c>
      <c r="AR54" s="49"/>
      <c r="AS54" s="60">
        <v>159</v>
      </c>
      <c r="AT54" s="49">
        <v>150</v>
      </c>
      <c r="AU54" s="61"/>
      <c r="AV54" s="53">
        <f t="shared" si="29"/>
        <v>6268</v>
      </c>
      <c r="AW54" s="53">
        <f t="shared" si="29"/>
        <v>6340</v>
      </c>
      <c r="AX54" s="53">
        <f t="shared" si="29"/>
        <v>0</v>
      </c>
      <c r="AY54" s="60">
        <f>190+54</f>
        <v>244</v>
      </c>
      <c r="AZ54" s="49">
        <f>208+59</f>
        <v>267</v>
      </c>
      <c r="BA54" s="61"/>
      <c r="BB54" s="54">
        <f>IF($O54="M-Sa",(AV54*5)+AW54+AX54,IF($O54="m-su",(AV54*5)+AW54+AX54,IF($O54="M-F",(AV54*5),IF($O54="T-Su",(AV54*4)+AW54+AX54,IF($O54="T-Sa",(AV54*4)+AW54,IF($O54="T-F",(AV54*4),IF($O54="Su-F",(AV54*5)+AW54+AX54,(AV54*5+AW54+AX54))))))))</f>
        <v>37680</v>
      </c>
      <c r="BC54" s="54">
        <f t="shared" si="31"/>
        <v>6280</v>
      </c>
      <c r="BD54" s="62">
        <f t="shared" si="4"/>
        <v>1487</v>
      </c>
      <c r="BE54" s="56"/>
      <c r="BF54" s="330"/>
      <c r="BG54" s="56"/>
      <c r="BH54" s="56"/>
      <c r="BI54" s="56"/>
    </row>
    <row r="55" spans="1:61" s="73" customFormat="1">
      <c r="A55" s="350" t="s">
        <v>485</v>
      </c>
      <c r="B55" s="75" t="s">
        <v>35</v>
      </c>
      <c r="C55" s="75" t="s">
        <v>165</v>
      </c>
      <c r="D55" s="76" t="s">
        <v>166</v>
      </c>
      <c r="E55" s="77" t="s">
        <v>173</v>
      </c>
      <c r="F55" s="78">
        <v>18519</v>
      </c>
      <c r="G55" s="75" t="s">
        <v>82</v>
      </c>
      <c r="H55" s="75" t="s">
        <v>40</v>
      </c>
      <c r="I55" s="75">
        <v>10</v>
      </c>
      <c r="J55" s="75">
        <v>301</v>
      </c>
      <c r="K55" s="75">
        <f t="shared" si="0"/>
        <v>3010</v>
      </c>
      <c r="L55" s="79"/>
      <c r="M55" s="38" t="s">
        <v>42</v>
      </c>
      <c r="N55" s="75"/>
      <c r="O55" s="77" t="s">
        <v>54</v>
      </c>
      <c r="P55" s="80" t="s">
        <v>50</v>
      </c>
      <c r="Q55" s="81" t="s">
        <v>84</v>
      </c>
      <c r="R55" s="89"/>
      <c r="S55" s="90"/>
      <c r="T55" s="91"/>
      <c r="U55" s="90"/>
      <c r="V55" s="90"/>
      <c r="W55" s="90"/>
      <c r="X55" s="89"/>
      <c r="Y55" s="90"/>
      <c r="Z55" s="91"/>
      <c r="AA55" s="90"/>
      <c r="AB55" s="90"/>
      <c r="AC55" s="90"/>
      <c r="AD55" s="92"/>
      <c r="AE55" s="93"/>
      <c r="AF55" s="94"/>
      <c r="AG55" s="93"/>
      <c r="AH55" s="93"/>
      <c r="AI55" s="93"/>
      <c r="AJ55" s="92">
        <f t="shared" si="30"/>
        <v>0</v>
      </c>
      <c r="AK55" s="93">
        <f t="shared" si="30"/>
        <v>0</v>
      </c>
      <c r="AL55" s="94">
        <f t="shared" si="30"/>
        <v>0</v>
      </c>
      <c r="AM55" s="92"/>
      <c r="AN55" s="93"/>
      <c r="AO55" s="94"/>
      <c r="AP55" s="83">
        <v>3314</v>
      </c>
      <c r="AQ55" s="83">
        <v>0</v>
      </c>
      <c r="AR55" s="83">
        <v>0</v>
      </c>
      <c r="AS55" s="82"/>
      <c r="AT55" s="83">
        <v>0</v>
      </c>
      <c r="AU55" s="297">
        <v>17711</v>
      </c>
      <c r="AV55" s="85">
        <f t="shared" si="29"/>
        <v>3314</v>
      </c>
      <c r="AW55" s="85">
        <f t="shared" si="29"/>
        <v>0</v>
      </c>
      <c r="AX55" s="296">
        <f t="shared" si="29"/>
        <v>17711</v>
      </c>
      <c r="AY55" s="82">
        <v>24</v>
      </c>
      <c r="AZ55" s="83"/>
      <c r="BA55" s="84"/>
      <c r="BB55" s="86">
        <f>(AV55*5)+AX55</f>
        <v>34281</v>
      </c>
      <c r="BC55" s="86">
        <f t="shared" si="31"/>
        <v>6856.2</v>
      </c>
      <c r="BD55" s="87">
        <f t="shared" si="4"/>
        <v>120</v>
      </c>
      <c r="BF55" s="347" t="s">
        <v>559</v>
      </c>
    </row>
    <row r="56" spans="1:61" s="56" customFormat="1">
      <c r="A56" s="57" t="s">
        <v>486</v>
      </c>
      <c r="B56" s="34" t="s">
        <v>35</v>
      </c>
      <c r="C56" s="34" t="s">
        <v>165</v>
      </c>
      <c r="D56" s="35" t="s">
        <v>166</v>
      </c>
      <c r="E56" s="58" t="s">
        <v>174</v>
      </c>
      <c r="F56" s="37">
        <v>58957</v>
      </c>
      <c r="G56" s="34" t="s">
        <v>63</v>
      </c>
      <c r="H56" s="34" t="s">
        <v>40</v>
      </c>
      <c r="I56" s="34">
        <v>10</v>
      </c>
      <c r="J56" s="34">
        <v>287</v>
      </c>
      <c r="K56" s="34">
        <f t="shared" si="0"/>
        <v>2870</v>
      </c>
      <c r="L56" s="38"/>
      <c r="M56" s="38" t="s">
        <v>42</v>
      </c>
      <c r="N56" s="34" t="s">
        <v>43</v>
      </c>
      <c r="O56" s="58" t="s">
        <v>44</v>
      </c>
      <c r="P56" s="39" t="s">
        <v>50</v>
      </c>
      <c r="Q56" s="59" t="s">
        <v>51</v>
      </c>
      <c r="R56" s="68"/>
      <c r="S56" s="44"/>
      <c r="T56" s="69"/>
      <c r="U56" s="44"/>
      <c r="V56" s="44"/>
      <c r="W56" s="44"/>
      <c r="X56" s="68"/>
      <c r="Y56" s="44"/>
      <c r="Z56" s="69"/>
      <c r="AA56" s="44"/>
      <c r="AB56" s="44"/>
      <c r="AC56" s="44"/>
      <c r="AD56" s="70"/>
      <c r="AE56" s="48"/>
      <c r="AF56" s="71"/>
      <c r="AG56" s="48"/>
      <c r="AH56" s="48"/>
      <c r="AI56" s="48"/>
      <c r="AJ56" s="70">
        <f t="shared" si="30"/>
        <v>0</v>
      </c>
      <c r="AK56" s="48">
        <f t="shared" si="30"/>
        <v>0</v>
      </c>
      <c r="AL56" s="71">
        <f t="shared" si="30"/>
        <v>0</v>
      </c>
      <c r="AM56" s="70"/>
      <c r="AN56" s="48"/>
      <c r="AO56" s="71"/>
      <c r="AP56" s="49">
        <v>8474</v>
      </c>
      <c r="AQ56" s="49">
        <v>8674</v>
      </c>
      <c r="AR56" s="49"/>
      <c r="AS56" s="60">
        <v>4942</v>
      </c>
      <c r="AT56" s="49">
        <v>1646</v>
      </c>
      <c r="AU56" s="61"/>
      <c r="AV56" s="53">
        <f t="shared" si="29"/>
        <v>13416</v>
      </c>
      <c r="AW56" s="53">
        <f t="shared" si="29"/>
        <v>10320</v>
      </c>
      <c r="AX56" s="53">
        <f t="shared" si="29"/>
        <v>0</v>
      </c>
      <c r="AY56" s="60">
        <f>318+6+23</f>
        <v>347</v>
      </c>
      <c r="AZ56" s="49">
        <f>332+90+19</f>
        <v>441</v>
      </c>
      <c r="BA56" s="61"/>
      <c r="BB56" s="54">
        <f t="shared" ref="BB56:BB72" si="32">IF($O56="M-Sa",(AV56*5)+AW56+AX56,IF($O56="m-su",(AV56*5)+AW56+AX56,IF($O56="M-F",(AV56*5),IF($O56="T-Su",(AV56*4)+AW56+AX56,IF($O56="T-Sa",(AV56*4)+AW56,IF($O56="T-F",(AV56*4),IF($O56="Su-F",(AV56*5)+AW56+AX56,(AV56*5+AW56+AX56))))))))</f>
        <v>77400</v>
      </c>
      <c r="BC56" s="54">
        <f t="shared" ref="BC56:BC72" si="33">IF($O56="M-Sa",(BB56/6),IF($O56="m-su",(BB56/7),IF($O56="M-F",(BB56/5),IF($O56="T-Su",(BB56/6),IF($O56="T-Sa",(BB56/5),IF($O56="T-F",(BB56/4),IF($O56="Su-F",(BB56/6),(BB56/7))))))))</f>
        <v>12900</v>
      </c>
      <c r="BD56" s="62">
        <f t="shared" si="4"/>
        <v>2176</v>
      </c>
      <c r="BF56" s="330"/>
      <c r="BI56" s="63"/>
    </row>
    <row r="57" spans="1:61" s="73" customFormat="1">
      <c r="A57" s="88" t="s">
        <v>175</v>
      </c>
      <c r="B57" s="75" t="s">
        <v>35</v>
      </c>
      <c r="C57" s="75" t="s">
        <v>165</v>
      </c>
      <c r="D57" s="76" t="s">
        <v>166</v>
      </c>
      <c r="E57" s="77" t="s">
        <v>176</v>
      </c>
      <c r="F57" s="78">
        <v>7834</v>
      </c>
      <c r="G57" s="75" t="s">
        <v>82</v>
      </c>
      <c r="H57" s="75" t="s">
        <v>47</v>
      </c>
      <c r="I57" s="75">
        <v>5</v>
      </c>
      <c r="J57" s="75">
        <v>210</v>
      </c>
      <c r="K57" s="75">
        <f t="shared" si="0"/>
        <v>1050</v>
      </c>
      <c r="L57" s="79"/>
      <c r="M57" s="38" t="s">
        <v>42</v>
      </c>
      <c r="N57" s="75"/>
      <c r="O57" s="77" t="s">
        <v>54</v>
      </c>
      <c r="P57" s="80" t="s">
        <v>113</v>
      </c>
      <c r="Q57" s="81" t="s">
        <v>114</v>
      </c>
      <c r="R57" s="89"/>
      <c r="S57" s="90"/>
      <c r="T57" s="91"/>
      <c r="U57" s="90"/>
      <c r="V57" s="90"/>
      <c r="W57" s="90"/>
      <c r="X57" s="89"/>
      <c r="Y57" s="90"/>
      <c r="Z57" s="91"/>
      <c r="AA57" s="90"/>
      <c r="AB57" s="90"/>
      <c r="AC57" s="90"/>
      <c r="AD57" s="92"/>
      <c r="AE57" s="93"/>
      <c r="AF57" s="94"/>
      <c r="AG57" s="93"/>
      <c r="AH57" s="93"/>
      <c r="AI57" s="93"/>
      <c r="AJ57" s="70">
        <f t="shared" si="30"/>
        <v>0</v>
      </c>
      <c r="AK57" s="48">
        <f t="shared" si="30"/>
        <v>0</v>
      </c>
      <c r="AL57" s="71">
        <f t="shared" si="30"/>
        <v>0</v>
      </c>
      <c r="AM57" s="92"/>
      <c r="AN57" s="93"/>
      <c r="AO57" s="94"/>
      <c r="AP57" s="83">
        <f>((1900*3)+4597)/4</f>
        <v>2574.25</v>
      </c>
      <c r="AQ57" s="83">
        <v>0</v>
      </c>
      <c r="AR57" s="83">
        <v>0</v>
      </c>
      <c r="AS57" s="82"/>
      <c r="AT57" s="83"/>
      <c r="AU57" s="84"/>
      <c r="AV57" s="53">
        <f t="shared" si="29"/>
        <v>2574.25</v>
      </c>
      <c r="AW57" s="53">
        <f t="shared" si="29"/>
        <v>0</v>
      </c>
      <c r="AX57" s="53">
        <f t="shared" si="29"/>
        <v>0</v>
      </c>
      <c r="AY57" s="82"/>
      <c r="AZ57" s="83"/>
      <c r="BA57" s="84"/>
      <c r="BB57" s="54">
        <f t="shared" si="32"/>
        <v>12871.25</v>
      </c>
      <c r="BC57" s="54">
        <f t="shared" si="33"/>
        <v>2574.25</v>
      </c>
      <c r="BD57" s="62">
        <f t="shared" si="4"/>
        <v>0</v>
      </c>
      <c r="BF57" s="347"/>
      <c r="BI57" s="104"/>
    </row>
    <row r="58" spans="1:61" s="56" customFormat="1">
      <c r="A58" s="57" t="s">
        <v>177</v>
      </c>
      <c r="B58" s="34" t="s">
        <v>35</v>
      </c>
      <c r="C58" s="34" t="s">
        <v>165</v>
      </c>
      <c r="D58" s="35" t="s">
        <v>166</v>
      </c>
      <c r="E58" s="58" t="s">
        <v>178</v>
      </c>
      <c r="F58" s="37">
        <v>142900</v>
      </c>
      <c r="G58" s="34" t="s">
        <v>68</v>
      </c>
      <c r="H58" s="34" t="s">
        <v>40</v>
      </c>
      <c r="I58" s="34">
        <v>10</v>
      </c>
      <c r="J58" s="34">
        <v>296</v>
      </c>
      <c r="K58" s="34">
        <f t="shared" si="0"/>
        <v>2960</v>
      </c>
      <c r="L58" s="38"/>
      <c r="M58" s="38" t="s">
        <v>42</v>
      </c>
      <c r="N58" s="34" t="s">
        <v>64</v>
      </c>
      <c r="O58" s="58" t="s">
        <v>44</v>
      </c>
      <c r="P58" s="39" t="s">
        <v>179</v>
      </c>
      <c r="Q58" s="59" t="s">
        <v>51</v>
      </c>
      <c r="R58" s="68"/>
      <c r="S58" s="44"/>
      <c r="T58" s="69"/>
      <c r="U58" s="44"/>
      <c r="V58" s="44"/>
      <c r="W58" s="44"/>
      <c r="X58" s="68"/>
      <c r="Y58" s="44"/>
      <c r="Z58" s="69"/>
      <c r="AA58" s="44"/>
      <c r="AB58" s="44"/>
      <c r="AC58" s="44"/>
      <c r="AD58" s="70"/>
      <c r="AE58" s="48"/>
      <c r="AF58" s="71"/>
      <c r="AG58" s="48"/>
      <c r="AH58" s="48"/>
      <c r="AI58" s="48"/>
      <c r="AJ58" s="70">
        <f t="shared" si="30"/>
        <v>0</v>
      </c>
      <c r="AK58" s="48">
        <f t="shared" si="30"/>
        <v>0</v>
      </c>
      <c r="AL58" s="71">
        <f t="shared" si="30"/>
        <v>0</v>
      </c>
      <c r="AM58" s="70"/>
      <c r="AN58" s="48"/>
      <c r="AO58" s="71"/>
      <c r="AP58" s="49">
        <v>10059</v>
      </c>
      <c r="AQ58" s="49">
        <v>10735</v>
      </c>
      <c r="AR58" s="49"/>
      <c r="AS58" s="60">
        <v>2377</v>
      </c>
      <c r="AT58" s="49">
        <v>1579</v>
      </c>
      <c r="AU58" s="61"/>
      <c r="AV58" s="53">
        <f t="shared" si="29"/>
        <v>12436</v>
      </c>
      <c r="AW58" s="53">
        <f t="shared" si="29"/>
        <v>12314</v>
      </c>
      <c r="AX58" s="53">
        <f t="shared" si="29"/>
        <v>0</v>
      </c>
      <c r="AY58" s="60">
        <f>375+1154</f>
        <v>1529</v>
      </c>
      <c r="AZ58" s="49">
        <f>69+962</f>
        <v>1031</v>
      </c>
      <c r="BA58" s="61"/>
      <c r="BB58" s="54">
        <f t="shared" si="32"/>
        <v>74494</v>
      </c>
      <c r="BC58" s="54">
        <f t="shared" si="33"/>
        <v>12415.666666666666</v>
      </c>
      <c r="BD58" s="62">
        <f t="shared" si="4"/>
        <v>8676</v>
      </c>
      <c r="BF58" s="330"/>
    </row>
    <row r="59" spans="1:61" s="73" customFormat="1">
      <c r="A59" s="57" t="s">
        <v>180</v>
      </c>
      <c r="B59" s="34" t="s">
        <v>35</v>
      </c>
      <c r="C59" s="34" t="s">
        <v>165</v>
      </c>
      <c r="D59" s="35" t="s">
        <v>166</v>
      </c>
      <c r="E59" s="58" t="s">
        <v>181</v>
      </c>
      <c r="F59" s="37">
        <v>756600</v>
      </c>
      <c r="G59" s="34" t="s">
        <v>127</v>
      </c>
      <c r="H59" s="34" t="s">
        <v>40</v>
      </c>
      <c r="I59" s="34">
        <v>10</v>
      </c>
      <c r="J59" s="34">
        <v>301</v>
      </c>
      <c r="K59" s="34">
        <f t="shared" si="0"/>
        <v>3010</v>
      </c>
      <c r="L59" s="38"/>
      <c r="M59" s="38" t="s">
        <v>42</v>
      </c>
      <c r="N59" s="34" t="s">
        <v>43</v>
      </c>
      <c r="O59" s="58" t="s">
        <v>44</v>
      </c>
      <c r="P59" s="39" t="s">
        <v>179</v>
      </c>
      <c r="Q59" s="59" t="s">
        <v>51</v>
      </c>
      <c r="R59" s="68"/>
      <c r="S59" s="44"/>
      <c r="T59" s="69"/>
      <c r="U59" s="44"/>
      <c r="V59" s="44"/>
      <c r="W59" s="44"/>
      <c r="X59" s="68"/>
      <c r="Y59" s="44"/>
      <c r="Z59" s="69"/>
      <c r="AA59" s="44"/>
      <c r="AB59" s="44"/>
      <c r="AC59" s="44"/>
      <c r="AD59" s="70"/>
      <c r="AE59" s="48"/>
      <c r="AF59" s="71"/>
      <c r="AG59" s="48"/>
      <c r="AH59" s="48"/>
      <c r="AI59" s="48"/>
      <c r="AJ59" s="70">
        <f t="shared" si="30"/>
        <v>0</v>
      </c>
      <c r="AK59" s="48">
        <f t="shared" si="30"/>
        <v>0</v>
      </c>
      <c r="AL59" s="71">
        <f t="shared" si="30"/>
        <v>0</v>
      </c>
      <c r="AM59" s="70"/>
      <c r="AN59" s="48"/>
      <c r="AO59" s="71"/>
      <c r="AP59" s="49">
        <v>77014</v>
      </c>
      <c r="AQ59" s="49">
        <v>82912</v>
      </c>
      <c r="AR59" s="49"/>
      <c r="AS59" s="60">
        <v>24447</v>
      </c>
      <c r="AT59" s="49">
        <v>21297</v>
      </c>
      <c r="AU59" s="61"/>
      <c r="AV59" s="53">
        <f t="shared" si="29"/>
        <v>101461</v>
      </c>
      <c r="AW59" s="53">
        <f t="shared" si="29"/>
        <v>104209</v>
      </c>
      <c r="AX59" s="53">
        <f t="shared" si="29"/>
        <v>0</v>
      </c>
      <c r="AY59" s="60">
        <f>2104+217+15574</f>
        <v>17895</v>
      </c>
      <c r="AZ59" s="49">
        <f>605+226+16560</f>
        <v>17391</v>
      </c>
      <c r="BA59" s="61"/>
      <c r="BB59" s="54">
        <f t="shared" si="32"/>
        <v>611514</v>
      </c>
      <c r="BC59" s="54">
        <f t="shared" si="33"/>
        <v>101919</v>
      </c>
      <c r="BD59" s="62">
        <f t="shared" si="4"/>
        <v>106866</v>
      </c>
      <c r="BE59" s="56"/>
      <c r="BF59" s="330"/>
      <c r="BG59" s="56"/>
      <c r="BH59" s="56"/>
      <c r="BI59" s="56"/>
    </row>
    <row r="60" spans="1:61" s="73" customFormat="1">
      <c r="A60" s="88" t="s">
        <v>487</v>
      </c>
      <c r="B60" s="75" t="s">
        <v>35</v>
      </c>
      <c r="C60" s="75" t="s">
        <v>165</v>
      </c>
      <c r="D60" s="76" t="s">
        <v>166</v>
      </c>
      <c r="E60" s="77" t="s">
        <v>182</v>
      </c>
      <c r="F60" s="78">
        <v>15348</v>
      </c>
      <c r="G60" s="75" t="s">
        <v>82</v>
      </c>
      <c r="H60" s="75" t="s">
        <v>47</v>
      </c>
      <c r="I60" s="75">
        <v>10</v>
      </c>
      <c r="J60" s="75">
        <v>160</v>
      </c>
      <c r="K60" s="75">
        <f t="shared" si="0"/>
        <v>1600</v>
      </c>
      <c r="L60" s="79"/>
      <c r="M60" s="79" t="s">
        <v>42</v>
      </c>
      <c r="N60" s="75" t="s">
        <v>64</v>
      </c>
      <c r="O60" s="77" t="s">
        <v>104</v>
      </c>
      <c r="P60" s="80" t="s">
        <v>50</v>
      </c>
      <c r="Q60" s="81" t="s">
        <v>114</v>
      </c>
      <c r="R60" s="82"/>
      <c r="S60" s="83"/>
      <c r="T60" s="84"/>
      <c r="U60" s="83"/>
      <c r="V60" s="83"/>
      <c r="W60" s="83"/>
      <c r="X60" s="82"/>
      <c r="Y60" s="83"/>
      <c r="Z60" s="84"/>
      <c r="AA60" s="83"/>
      <c r="AB60" s="83"/>
      <c r="AC60" s="83"/>
      <c r="AD60" s="82"/>
      <c r="AE60" s="83"/>
      <c r="AF60" s="84"/>
      <c r="AG60" s="83"/>
      <c r="AH60" s="83"/>
      <c r="AI60" s="83"/>
      <c r="AJ60" s="82">
        <f t="shared" si="30"/>
        <v>0</v>
      </c>
      <c r="AK60" s="83">
        <f t="shared" si="30"/>
        <v>0</v>
      </c>
      <c r="AL60" s="84">
        <f t="shared" si="30"/>
        <v>0</v>
      </c>
      <c r="AM60" s="82"/>
      <c r="AN60" s="83"/>
      <c r="AO60" s="84"/>
      <c r="AP60" s="83">
        <v>2660</v>
      </c>
      <c r="AQ60" s="83"/>
      <c r="AR60" s="83"/>
      <c r="AS60" s="82"/>
      <c r="AT60" s="83"/>
      <c r="AU60" s="84"/>
      <c r="AV60" s="85">
        <f t="shared" si="29"/>
        <v>2660</v>
      </c>
      <c r="AW60" s="85">
        <f t="shared" si="29"/>
        <v>0</v>
      </c>
      <c r="AX60" s="85">
        <f t="shared" si="29"/>
        <v>0</v>
      </c>
      <c r="AY60" s="82"/>
      <c r="AZ60" s="83"/>
      <c r="BA60" s="84"/>
      <c r="BB60" s="86">
        <f t="shared" si="32"/>
        <v>10640</v>
      </c>
      <c r="BC60" s="86">
        <f t="shared" si="33"/>
        <v>2660</v>
      </c>
      <c r="BD60" s="87">
        <f t="shared" si="4"/>
        <v>0</v>
      </c>
      <c r="BF60" s="347" t="s">
        <v>561</v>
      </c>
      <c r="BH60" s="402"/>
    </row>
    <row r="61" spans="1:61" s="56" customFormat="1">
      <c r="A61" s="57" t="s">
        <v>184</v>
      </c>
      <c r="B61" s="34" t="s">
        <v>35</v>
      </c>
      <c r="C61" s="34" t="s">
        <v>165</v>
      </c>
      <c r="D61" s="35" t="s">
        <v>166</v>
      </c>
      <c r="E61" s="58" t="s">
        <v>185</v>
      </c>
      <c r="F61" s="37">
        <v>165500</v>
      </c>
      <c r="G61" s="34" t="s">
        <v>68</v>
      </c>
      <c r="H61" s="34" t="s">
        <v>40</v>
      </c>
      <c r="I61" s="34">
        <v>10</v>
      </c>
      <c r="J61" s="34">
        <v>301</v>
      </c>
      <c r="K61" s="34">
        <f t="shared" si="0"/>
        <v>3010</v>
      </c>
      <c r="L61" s="38"/>
      <c r="M61" s="38" t="s">
        <v>42</v>
      </c>
      <c r="N61" s="34" t="s">
        <v>43</v>
      </c>
      <c r="O61" s="58" t="s">
        <v>44</v>
      </c>
      <c r="P61" s="39" t="s">
        <v>50</v>
      </c>
      <c r="Q61" s="59" t="s">
        <v>51</v>
      </c>
      <c r="R61" s="68"/>
      <c r="S61" s="44"/>
      <c r="T61" s="69"/>
      <c r="U61" s="44"/>
      <c r="V61" s="44"/>
      <c r="W61" s="44"/>
      <c r="X61" s="68"/>
      <c r="Y61" s="44"/>
      <c r="Z61" s="69"/>
      <c r="AA61" s="44"/>
      <c r="AB61" s="44"/>
      <c r="AC61" s="44"/>
      <c r="AD61" s="70"/>
      <c r="AE61" s="48"/>
      <c r="AF61" s="71"/>
      <c r="AG61" s="48"/>
      <c r="AH61" s="48"/>
      <c r="AI61" s="48"/>
      <c r="AJ61" s="70">
        <f t="shared" si="30"/>
        <v>0</v>
      </c>
      <c r="AK61" s="48">
        <f t="shared" si="30"/>
        <v>0</v>
      </c>
      <c r="AL61" s="71">
        <f t="shared" si="30"/>
        <v>0</v>
      </c>
      <c r="AM61" s="70"/>
      <c r="AN61" s="48"/>
      <c r="AO61" s="71"/>
      <c r="AP61" s="49">
        <v>16880</v>
      </c>
      <c r="AQ61" s="49">
        <v>19041</v>
      </c>
      <c r="AR61" s="49"/>
      <c r="AS61" s="60">
        <v>1832</v>
      </c>
      <c r="AT61" s="49">
        <v>1595</v>
      </c>
      <c r="AU61" s="61"/>
      <c r="AV61" s="53">
        <f t="shared" si="29"/>
        <v>18712</v>
      </c>
      <c r="AW61" s="53">
        <f t="shared" si="29"/>
        <v>20636</v>
      </c>
      <c r="AX61" s="53">
        <f t="shared" si="29"/>
        <v>0</v>
      </c>
      <c r="AY61" s="60">
        <f>541+696+389</f>
        <v>1626</v>
      </c>
      <c r="AZ61" s="49">
        <f>544+393</f>
        <v>937</v>
      </c>
      <c r="BA61" s="61"/>
      <c r="BB61" s="54">
        <f t="shared" si="32"/>
        <v>114196</v>
      </c>
      <c r="BC61" s="54">
        <f t="shared" si="33"/>
        <v>19032.666666666668</v>
      </c>
      <c r="BD61" s="62">
        <f t="shared" si="4"/>
        <v>9067</v>
      </c>
      <c r="BF61" s="330"/>
    </row>
    <row r="62" spans="1:61" s="73" customFormat="1">
      <c r="A62" s="57" t="s">
        <v>186</v>
      </c>
      <c r="B62" s="34" t="s">
        <v>35</v>
      </c>
      <c r="C62" s="34" t="s">
        <v>165</v>
      </c>
      <c r="D62" s="35" t="s">
        <v>166</v>
      </c>
      <c r="E62" s="58" t="s">
        <v>187</v>
      </c>
      <c r="F62" s="37">
        <v>500000</v>
      </c>
      <c r="G62" s="34" t="s">
        <v>68</v>
      </c>
      <c r="H62" s="34" t="s">
        <v>40</v>
      </c>
      <c r="I62" s="34">
        <v>10</v>
      </c>
      <c r="J62" s="34">
        <v>309</v>
      </c>
      <c r="K62" s="34">
        <f t="shared" si="0"/>
        <v>3090</v>
      </c>
      <c r="L62" s="38"/>
      <c r="M62" s="38" t="s">
        <v>42</v>
      </c>
      <c r="N62" s="34" t="s">
        <v>43</v>
      </c>
      <c r="O62" s="58" t="s">
        <v>44</v>
      </c>
      <c r="P62" s="39" t="s">
        <v>50</v>
      </c>
      <c r="Q62" s="59" t="s">
        <v>51</v>
      </c>
      <c r="R62" s="68"/>
      <c r="S62" s="44"/>
      <c r="T62" s="69"/>
      <c r="U62" s="44"/>
      <c r="V62" s="44"/>
      <c r="W62" s="44"/>
      <c r="X62" s="68"/>
      <c r="Y62" s="44"/>
      <c r="Z62" s="69"/>
      <c r="AA62" s="44"/>
      <c r="AB62" s="44"/>
      <c r="AC62" s="44"/>
      <c r="AD62" s="70"/>
      <c r="AE62" s="48"/>
      <c r="AF62" s="71"/>
      <c r="AG62" s="48"/>
      <c r="AH62" s="48"/>
      <c r="AI62" s="48"/>
      <c r="AJ62" s="70">
        <f t="shared" si="30"/>
        <v>0</v>
      </c>
      <c r="AK62" s="48">
        <f t="shared" si="30"/>
        <v>0</v>
      </c>
      <c r="AL62" s="71">
        <f t="shared" si="30"/>
        <v>0</v>
      </c>
      <c r="AM62" s="70"/>
      <c r="AN62" s="48"/>
      <c r="AO62" s="71"/>
      <c r="AP62" s="49">
        <v>54497</v>
      </c>
      <c r="AQ62" s="49">
        <v>59801</v>
      </c>
      <c r="AR62" s="49"/>
      <c r="AS62" s="60">
        <v>23304</v>
      </c>
      <c r="AT62" s="49">
        <v>20172</v>
      </c>
      <c r="AU62" s="61"/>
      <c r="AV62" s="53">
        <f t="shared" si="29"/>
        <v>77801</v>
      </c>
      <c r="AW62" s="53">
        <f t="shared" si="29"/>
        <v>79973</v>
      </c>
      <c r="AX62" s="53">
        <f t="shared" si="29"/>
        <v>0</v>
      </c>
      <c r="AY62" s="60">
        <f>1982+607+18405</f>
        <v>20994</v>
      </c>
      <c r="AZ62" s="49">
        <f>1824+562+16613</f>
        <v>18999</v>
      </c>
      <c r="BA62" s="61"/>
      <c r="BB62" s="54">
        <f t="shared" si="32"/>
        <v>468978</v>
      </c>
      <c r="BC62" s="54">
        <f t="shared" si="33"/>
        <v>78163</v>
      </c>
      <c r="BD62" s="62">
        <f t="shared" si="4"/>
        <v>123969</v>
      </c>
      <c r="BE62" s="56"/>
      <c r="BF62" s="330"/>
      <c r="BG62" s="56"/>
      <c r="BH62" s="56"/>
      <c r="BI62" s="56"/>
    </row>
    <row r="63" spans="1:61" s="56" customFormat="1">
      <c r="A63" s="57" t="s">
        <v>488</v>
      </c>
      <c r="B63" s="34" t="s">
        <v>35</v>
      </c>
      <c r="C63" s="34" t="s">
        <v>165</v>
      </c>
      <c r="D63" s="35" t="s">
        <v>166</v>
      </c>
      <c r="E63" s="58" t="s">
        <v>187</v>
      </c>
      <c r="F63" s="37">
        <v>500000</v>
      </c>
      <c r="G63" s="34" t="s">
        <v>68</v>
      </c>
      <c r="H63" s="34" t="s">
        <v>47</v>
      </c>
      <c r="I63" s="34">
        <v>6</v>
      </c>
      <c r="J63" s="34">
        <v>175</v>
      </c>
      <c r="K63" s="34">
        <f t="shared" si="0"/>
        <v>1050</v>
      </c>
      <c r="L63" s="34"/>
      <c r="M63" s="34" t="s">
        <v>53</v>
      </c>
      <c r="N63" s="34" t="s">
        <v>43</v>
      </c>
      <c r="O63" s="58" t="s">
        <v>54</v>
      </c>
      <c r="P63" s="39" t="s">
        <v>55</v>
      </c>
      <c r="Q63" s="59" t="s">
        <v>51</v>
      </c>
      <c r="R63" s="283"/>
      <c r="S63" s="284"/>
      <c r="T63" s="285"/>
      <c r="U63" s="284"/>
      <c r="V63" s="284"/>
      <c r="W63" s="284"/>
      <c r="X63" s="283"/>
      <c r="Y63" s="284"/>
      <c r="Z63" s="285"/>
      <c r="AA63" s="284"/>
      <c r="AB63" s="284"/>
      <c r="AC63" s="284"/>
      <c r="AD63" s="286"/>
      <c r="AE63" s="287"/>
      <c r="AF63" s="288"/>
      <c r="AG63" s="287"/>
      <c r="AH63" s="287"/>
      <c r="AI63" s="287"/>
      <c r="AJ63" s="286"/>
      <c r="AK63" s="287"/>
      <c r="AL63" s="288"/>
      <c r="AM63" s="286"/>
      <c r="AN63" s="287"/>
      <c r="AO63" s="288"/>
      <c r="AP63" s="34"/>
      <c r="AQ63" s="34"/>
      <c r="AR63" s="34"/>
      <c r="AS63" s="60">
        <v>37300</v>
      </c>
      <c r="AT63" s="49"/>
      <c r="AU63" s="61"/>
      <c r="AV63" s="53">
        <f t="shared" si="29"/>
        <v>37300</v>
      </c>
      <c r="AW63" s="53">
        <f t="shared" si="29"/>
        <v>0</v>
      </c>
      <c r="AX63" s="53"/>
      <c r="AY63" s="35"/>
      <c r="AZ63" s="34"/>
      <c r="BA63" s="64"/>
      <c r="BB63" s="54">
        <f t="shared" si="32"/>
        <v>186500</v>
      </c>
      <c r="BC63" s="54">
        <f t="shared" si="33"/>
        <v>37300</v>
      </c>
      <c r="BD63" s="62">
        <f t="shared" si="4"/>
        <v>0</v>
      </c>
      <c r="BE63" s="387"/>
      <c r="BF63" s="58"/>
      <c r="BG63" s="66">
        <v>2011</v>
      </c>
      <c r="BH63" s="72" t="s">
        <v>582</v>
      </c>
    </row>
    <row r="64" spans="1:61" s="63" customFormat="1">
      <c r="A64" s="57" t="s">
        <v>188</v>
      </c>
      <c r="B64" s="34" t="s">
        <v>35</v>
      </c>
      <c r="C64" s="34" t="s">
        <v>165</v>
      </c>
      <c r="D64" s="35" t="s">
        <v>166</v>
      </c>
      <c r="E64" s="58" t="s">
        <v>189</v>
      </c>
      <c r="F64" s="37"/>
      <c r="G64" s="34" t="s">
        <v>39</v>
      </c>
      <c r="H64" s="34" t="s">
        <v>40</v>
      </c>
      <c r="I64" s="34">
        <v>10</v>
      </c>
      <c r="J64" s="34">
        <v>300</v>
      </c>
      <c r="K64" s="34">
        <f t="shared" si="0"/>
        <v>3000</v>
      </c>
      <c r="L64" s="38" t="s">
        <v>41</v>
      </c>
      <c r="M64" s="38" t="s">
        <v>42</v>
      </c>
      <c r="N64" s="34" t="s">
        <v>43</v>
      </c>
      <c r="O64" s="58" t="s">
        <v>44</v>
      </c>
      <c r="P64" s="39" t="s">
        <v>45</v>
      </c>
      <c r="Q64" s="59" t="s">
        <v>46</v>
      </c>
      <c r="R64" s="68">
        <f>142509-41297</f>
        <v>101212</v>
      </c>
      <c r="S64" s="44">
        <f>132116-40144</f>
        <v>91972</v>
      </c>
      <c r="T64" s="69"/>
      <c r="U64" s="44">
        <f>41297+24134</f>
        <v>65431</v>
      </c>
      <c r="V64" s="44">
        <f>40144+45850</f>
        <v>85994</v>
      </c>
      <c r="W64" s="44"/>
      <c r="X64" s="68">
        <f>R64+U64</f>
        <v>166643</v>
      </c>
      <c r="Y64" s="44">
        <f>S64+V64</f>
        <v>177966</v>
      </c>
      <c r="Z64" s="69"/>
      <c r="AA64" s="44"/>
      <c r="AB64" s="44"/>
      <c r="AC64" s="44"/>
      <c r="AD64" s="70">
        <v>86283</v>
      </c>
      <c r="AE64" s="48">
        <v>96594</v>
      </c>
      <c r="AF64" s="71"/>
      <c r="AG64" s="48">
        <v>73200</v>
      </c>
      <c r="AH64" s="48">
        <v>59919</v>
      </c>
      <c r="AI64" s="48"/>
      <c r="AJ64" s="70">
        <f t="shared" ref="AJ64:AL71" si="34">AD64+AG64</f>
        <v>159483</v>
      </c>
      <c r="AK64" s="48">
        <f t="shared" si="34"/>
        <v>156513</v>
      </c>
      <c r="AL64" s="71">
        <f t="shared" si="34"/>
        <v>0</v>
      </c>
      <c r="AM64" s="70">
        <v>41455</v>
      </c>
      <c r="AN64" s="48">
        <v>30140</v>
      </c>
      <c r="AO64" s="71"/>
      <c r="AP64" s="49">
        <f>AVERAGE(R64,AD64)</f>
        <v>93747.5</v>
      </c>
      <c r="AQ64" s="49">
        <f>AVERAGE(S64,AE64)</f>
        <v>94283</v>
      </c>
      <c r="AR64" s="49"/>
      <c r="AS64" s="60">
        <f>AVERAGE(U64,AG64)</f>
        <v>69315.5</v>
      </c>
      <c r="AT64" s="49">
        <f>AVERAGE(V64,AH64)</f>
        <v>72956.5</v>
      </c>
      <c r="AU64" s="61"/>
      <c r="AV64" s="53">
        <f t="shared" ref="AV64:AZ65" si="35">AVERAGE(X64,AJ64)</f>
        <v>163063</v>
      </c>
      <c r="AW64" s="53">
        <f t="shared" si="35"/>
        <v>167239.5</v>
      </c>
      <c r="AX64" s="53">
        <f t="shared" si="35"/>
        <v>0</v>
      </c>
      <c r="AY64" s="60">
        <f t="shared" si="35"/>
        <v>41455</v>
      </c>
      <c r="AZ64" s="49">
        <f t="shared" si="35"/>
        <v>30140</v>
      </c>
      <c r="BA64" s="61"/>
      <c r="BB64" s="54">
        <f t="shared" si="32"/>
        <v>982554.5</v>
      </c>
      <c r="BC64" s="54">
        <f t="shared" si="33"/>
        <v>163759.08333333334</v>
      </c>
      <c r="BD64" s="62">
        <f t="shared" si="4"/>
        <v>237415</v>
      </c>
      <c r="BE64" s="56"/>
      <c r="BF64" s="354" t="s">
        <v>85</v>
      </c>
      <c r="BG64" s="65"/>
      <c r="BH64" s="100" t="s">
        <v>85</v>
      </c>
      <c r="BI64" s="56"/>
    </row>
    <row r="65" spans="1:61" s="73" customFormat="1">
      <c r="A65" s="57" t="s">
        <v>190</v>
      </c>
      <c r="B65" s="34" t="s">
        <v>35</v>
      </c>
      <c r="C65" s="34" t="s">
        <v>165</v>
      </c>
      <c r="D65" s="35" t="s">
        <v>166</v>
      </c>
      <c r="E65" s="58" t="s">
        <v>189</v>
      </c>
      <c r="F65" s="37"/>
      <c r="G65" s="34" t="s">
        <v>39</v>
      </c>
      <c r="H65" s="34" t="s">
        <v>40</v>
      </c>
      <c r="I65" s="34">
        <v>10</v>
      </c>
      <c r="J65" s="34">
        <v>280</v>
      </c>
      <c r="K65" s="34">
        <f t="shared" si="0"/>
        <v>2800</v>
      </c>
      <c r="L65" s="38" t="s">
        <v>191</v>
      </c>
      <c r="M65" s="38" t="s">
        <v>42</v>
      </c>
      <c r="N65" s="34" t="s">
        <v>43</v>
      </c>
      <c r="O65" s="58" t="s">
        <v>44</v>
      </c>
      <c r="P65" s="39" t="s">
        <v>192</v>
      </c>
      <c r="Q65" s="59" t="s">
        <v>46</v>
      </c>
      <c r="R65" s="68">
        <f>291571-30855</f>
        <v>260716</v>
      </c>
      <c r="S65" s="44">
        <f>354850-31907</f>
        <v>322943</v>
      </c>
      <c r="T65" s="69"/>
      <c r="U65" s="44">
        <f>30855+40740</f>
        <v>71595</v>
      </c>
      <c r="V65" s="44">
        <f>31907+41551</f>
        <v>73458</v>
      </c>
      <c r="W65" s="44"/>
      <c r="X65" s="68">
        <f>R65+U65</f>
        <v>332311</v>
      </c>
      <c r="Y65" s="44">
        <f>S65+V65</f>
        <v>396401</v>
      </c>
      <c r="Z65" s="69"/>
      <c r="AA65" s="44"/>
      <c r="AB65" s="44"/>
      <c r="AC65" s="44"/>
      <c r="AD65" s="70">
        <v>258602</v>
      </c>
      <c r="AE65" s="48">
        <v>312998</v>
      </c>
      <c r="AF65" s="71"/>
      <c r="AG65" s="48">
        <v>102056</v>
      </c>
      <c r="AH65" s="48">
        <v>104482</v>
      </c>
      <c r="AI65" s="48"/>
      <c r="AJ65" s="70">
        <f t="shared" si="34"/>
        <v>360658</v>
      </c>
      <c r="AK65" s="48">
        <f t="shared" si="34"/>
        <v>417480</v>
      </c>
      <c r="AL65" s="71">
        <f t="shared" si="34"/>
        <v>0</v>
      </c>
      <c r="AM65" s="70">
        <v>123185</v>
      </c>
      <c r="AN65" s="48">
        <v>114217</v>
      </c>
      <c r="AO65" s="71"/>
      <c r="AP65" s="49">
        <f>AVERAGE(R65,AD65)</f>
        <v>259659</v>
      </c>
      <c r="AQ65" s="49">
        <f>AVERAGE(S65,AE65)</f>
        <v>317970.5</v>
      </c>
      <c r="AR65" s="49"/>
      <c r="AS65" s="60">
        <f>AVERAGE(U65,AG65)</f>
        <v>86825.5</v>
      </c>
      <c r="AT65" s="49">
        <f>AVERAGE(V65,AH65)</f>
        <v>88970</v>
      </c>
      <c r="AU65" s="61"/>
      <c r="AV65" s="53">
        <f t="shared" si="35"/>
        <v>346484.5</v>
      </c>
      <c r="AW65" s="53">
        <f t="shared" si="35"/>
        <v>406940.5</v>
      </c>
      <c r="AX65" s="53">
        <f t="shared" si="35"/>
        <v>0</v>
      </c>
      <c r="AY65" s="60">
        <f t="shared" si="35"/>
        <v>123185</v>
      </c>
      <c r="AZ65" s="49">
        <f t="shared" si="35"/>
        <v>114217</v>
      </c>
      <c r="BA65" s="61"/>
      <c r="BB65" s="54">
        <f t="shared" si="32"/>
        <v>2139363</v>
      </c>
      <c r="BC65" s="54">
        <f t="shared" si="33"/>
        <v>356560.5</v>
      </c>
      <c r="BD65" s="62">
        <f t="shared" si="4"/>
        <v>730142</v>
      </c>
      <c r="BE65" s="56"/>
      <c r="BF65" s="330"/>
      <c r="BG65" s="56"/>
      <c r="BH65" s="56"/>
      <c r="BI65" s="56"/>
    </row>
    <row r="66" spans="1:61" s="101" customFormat="1">
      <c r="A66" s="57" t="s">
        <v>193</v>
      </c>
      <c r="B66" s="34" t="s">
        <v>35</v>
      </c>
      <c r="C66" s="34" t="s">
        <v>165</v>
      </c>
      <c r="D66" s="35" t="s">
        <v>166</v>
      </c>
      <c r="E66" s="58" t="s">
        <v>194</v>
      </c>
      <c r="F66" s="37">
        <v>82997</v>
      </c>
      <c r="G66" s="34" t="s">
        <v>63</v>
      </c>
      <c r="H66" s="34" t="s">
        <v>40</v>
      </c>
      <c r="I66" s="34">
        <v>10</v>
      </c>
      <c r="J66" s="34">
        <v>301</v>
      </c>
      <c r="K66" s="34">
        <f t="shared" si="0"/>
        <v>3010</v>
      </c>
      <c r="L66" s="38"/>
      <c r="M66" s="38" t="s">
        <v>42</v>
      </c>
      <c r="N66" s="34" t="s">
        <v>43</v>
      </c>
      <c r="O66" s="58" t="s">
        <v>44</v>
      </c>
      <c r="P66" s="39" t="s">
        <v>50</v>
      </c>
      <c r="Q66" s="59" t="s">
        <v>51</v>
      </c>
      <c r="R66" s="68"/>
      <c r="S66" s="44"/>
      <c r="T66" s="69"/>
      <c r="U66" s="44"/>
      <c r="V66" s="44"/>
      <c r="W66" s="44"/>
      <c r="X66" s="68"/>
      <c r="Y66" s="44"/>
      <c r="Z66" s="69"/>
      <c r="AA66" s="44"/>
      <c r="AB66" s="44"/>
      <c r="AC66" s="44"/>
      <c r="AD66" s="70"/>
      <c r="AE66" s="48"/>
      <c r="AF66" s="71"/>
      <c r="AG66" s="48"/>
      <c r="AH66" s="48"/>
      <c r="AI66" s="48"/>
      <c r="AJ66" s="70">
        <f t="shared" si="34"/>
        <v>0</v>
      </c>
      <c r="AK66" s="48">
        <f t="shared" si="34"/>
        <v>0</v>
      </c>
      <c r="AL66" s="71">
        <f t="shared" si="34"/>
        <v>0</v>
      </c>
      <c r="AM66" s="70"/>
      <c r="AN66" s="48"/>
      <c r="AO66" s="71"/>
      <c r="AP66" s="49">
        <v>8655</v>
      </c>
      <c r="AQ66" s="49">
        <v>8675</v>
      </c>
      <c r="AR66" s="49"/>
      <c r="AS66" s="60">
        <v>12111</v>
      </c>
      <c r="AT66" s="49">
        <v>6575</v>
      </c>
      <c r="AU66" s="61"/>
      <c r="AV66" s="53">
        <f t="shared" ref="AV66:AX68" si="36">AP66+AS66</f>
        <v>20766</v>
      </c>
      <c r="AW66" s="53">
        <f t="shared" si="36"/>
        <v>15250</v>
      </c>
      <c r="AX66" s="53">
        <f t="shared" si="36"/>
        <v>0</v>
      </c>
      <c r="AY66" s="60">
        <f>162+326+5636</f>
        <v>6124</v>
      </c>
      <c r="AZ66" s="49">
        <f>169+339+5907</f>
        <v>6415</v>
      </c>
      <c r="BA66" s="61"/>
      <c r="BB66" s="54">
        <f t="shared" si="32"/>
        <v>119080</v>
      </c>
      <c r="BC66" s="54">
        <f t="shared" si="33"/>
        <v>19846.666666666668</v>
      </c>
      <c r="BD66" s="62">
        <f t="shared" si="4"/>
        <v>37035</v>
      </c>
      <c r="BE66" s="56"/>
      <c r="BF66" s="330"/>
      <c r="BG66" s="56"/>
      <c r="BH66" s="56"/>
      <c r="BI66" s="56"/>
    </row>
    <row r="67" spans="1:61" s="73" customFormat="1">
      <c r="A67" s="57" t="s">
        <v>195</v>
      </c>
      <c r="B67" s="34" t="s">
        <v>35</v>
      </c>
      <c r="C67" s="34" t="s">
        <v>165</v>
      </c>
      <c r="D67" s="35" t="s">
        <v>166</v>
      </c>
      <c r="E67" s="58" t="s">
        <v>196</v>
      </c>
      <c r="F67" s="37">
        <v>64043</v>
      </c>
      <c r="G67" s="34" t="s">
        <v>63</v>
      </c>
      <c r="H67" s="34" t="s">
        <v>40</v>
      </c>
      <c r="I67" s="34">
        <v>10</v>
      </c>
      <c r="J67" s="34">
        <v>301</v>
      </c>
      <c r="K67" s="34">
        <f t="shared" si="0"/>
        <v>3010</v>
      </c>
      <c r="L67" s="38"/>
      <c r="M67" s="38" t="s">
        <v>42</v>
      </c>
      <c r="N67" s="34" t="s">
        <v>64</v>
      </c>
      <c r="O67" s="58" t="s">
        <v>44</v>
      </c>
      <c r="P67" s="39" t="s">
        <v>50</v>
      </c>
      <c r="Q67" s="59" t="s">
        <v>51</v>
      </c>
      <c r="R67" s="68"/>
      <c r="S67" s="44"/>
      <c r="T67" s="69"/>
      <c r="U67" s="44"/>
      <c r="V67" s="44"/>
      <c r="W67" s="44"/>
      <c r="X67" s="68"/>
      <c r="Y67" s="44"/>
      <c r="Z67" s="69"/>
      <c r="AA67" s="44"/>
      <c r="AB67" s="44"/>
      <c r="AC67" s="44"/>
      <c r="AD67" s="70"/>
      <c r="AE67" s="48"/>
      <c r="AF67" s="71"/>
      <c r="AG67" s="48"/>
      <c r="AH67" s="48"/>
      <c r="AI67" s="48"/>
      <c r="AJ67" s="70">
        <f t="shared" si="34"/>
        <v>0</v>
      </c>
      <c r="AK67" s="48">
        <f t="shared" si="34"/>
        <v>0</v>
      </c>
      <c r="AL67" s="71">
        <f t="shared" si="34"/>
        <v>0</v>
      </c>
      <c r="AM67" s="70"/>
      <c r="AN67" s="48"/>
      <c r="AO67" s="71"/>
      <c r="AP67" s="49">
        <v>9382</v>
      </c>
      <c r="AQ67" s="49">
        <v>9893</v>
      </c>
      <c r="AR67" s="49"/>
      <c r="AS67" s="60">
        <v>271</v>
      </c>
      <c r="AT67" s="49">
        <v>284</v>
      </c>
      <c r="AU67" s="61"/>
      <c r="AV67" s="53">
        <f t="shared" si="36"/>
        <v>9653</v>
      </c>
      <c r="AW67" s="53">
        <f t="shared" si="36"/>
        <v>10177</v>
      </c>
      <c r="AX67" s="53">
        <f t="shared" si="36"/>
        <v>0</v>
      </c>
      <c r="AY67" s="60">
        <f>286+122+10</f>
        <v>418</v>
      </c>
      <c r="AZ67" s="49">
        <f>285+121+9</f>
        <v>415</v>
      </c>
      <c r="BA67" s="61"/>
      <c r="BB67" s="54">
        <f t="shared" si="32"/>
        <v>58442</v>
      </c>
      <c r="BC67" s="54">
        <f t="shared" si="33"/>
        <v>9740.3333333333339</v>
      </c>
      <c r="BD67" s="62">
        <f t="shared" si="4"/>
        <v>2505</v>
      </c>
      <c r="BE67" s="56"/>
      <c r="BF67" s="354" t="s">
        <v>85</v>
      </c>
      <c r="BG67" s="65"/>
      <c r="BH67" s="65" t="s">
        <v>85</v>
      </c>
      <c r="BI67" s="56"/>
    </row>
    <row r="68" spans="1:61" s="104" customFormat="1">
      <c r="A68" s="88" t="s">
        <v>489</v>
      </c>
      <c r="B68" s="75" t="s">
        <v>35</v>
      </c>
      <c r="C68" s="75" t="s">
        <v>165</v>
      </c>
      <c r="D68" s="76" t="s">
        <v>166</v>
      </c>
      <c r="E68" s="77" t="s">
        <v>197</v>
      </c>
      <c r="F68" s="78">
        <v>40731</v>
      </c>
      <c r="G68" s="75" t="s">
        <v>82</v>
      </c>
      <c r="H68" s="75" t="s">
        <v>40</v>
      </c>
      <c r="I68" s="75">
        <v>10</v>
      </c>
      <c r="J68" s="75">
        <v>301</v>
      </c>
      <c r="K68" s="75">
        <f t="shared" ref="K68:K115" si="37">I68*J68</f>
        <v>3010</v>
      </c>
      <c r="L68" s="79"/>
      <c r="M68" s="79" t="s">
        <v>42</v>
      </c>
      <c r="N68" s="75" t="s">
        <v>64</v>
      </c>
      <c r="O68" s="77" t="s">
        <v>44</v>
      </c>
      <c r="P68" s="80" t="s">
        <v>50</v>
      </c>
      <c r="Q68" s="81" t="s">
        <v>51</v>
      </c>
      <c r="R68" s="89"/>
      <c r="S68" s="90"/>
      <c r="T68" s="91"/>
      <c r="U68" s="90"/>
      <c r="V68" s="90"/>
      <c r="W68" s="90"/>
      <c r="X68" s="89"/>
      <c r="Y68" s="90"/>
      <c r="Z68" s="91"/>
      <c r="AA68" s="90"/>
      <c r="AB68" s="90"/>
      <c r="AC68" s="90"/>
      <c r="AD68" s="92"/>
      <c r="AE68" s="93"/>
      <c r="AF68" s="94"/>
      <c r="AG68" s="93"/>
      <c r="AH68" s="93"/>
      <c r="AI68" s="93"/>
      <c r="AJ68" s="92">
        <f t="shared" si="34"/>
        <v>0</v>
      </c>
      <c r="AK68" s="93">
        <f t="shared" si="34"/>
        <v>0</v>
      </c>
      <c r="AL68" s="94">
        <f t="shared" si="34"/>
        <v>0</v>
      </c>
      <c r="AM68" s="92"/>
      <c r="AN68" s="93"/>
      <c r="AO68" s="94"/>
      <c r="AP68" s="83">
        <v>9157</v>
      </c>
      <c r="AQ68" s="83">
        <v>6139</v>
      </c>
      <c r="AR68" s="83"/>
      <c r="AS68" s="82"/>
      <c r="AT68" s="83"/>
      <c r="AU68" s="84"/>
      <c r="AV68" s="85">
        <f t="shared" si="36"/>
        <v>9157</v>
      </c>
      <c r="AW68" s="85">
        <f t="shared" si="36"/>
        <v>6139</v>
      </c>
      <c r="AX68" s="85">
        <f t="shared" si="36"/>
        <v>0</v>
      </c>
      <c r="AY68" s="82"/>
      <c r="AZ68" s="83"/>
      <c r="BA68" s="84"/>
      <c r="BB68" s="86">
        <f t="shared" si="32"/>
        <v>51924</v>
      </c>
      <c r="BC68" s="86">
        <f t="shared" si="33"/>
        <v>8654</v>
      </c>
      <c r="BD68" s="87">
        <f t="shared" ref="BD68:BD115" si="38">IF($O68="M-Sa",(AY68*5)+AZ68+BA68,IF($O68="m-su",(AY68*5)+AZ68+BA68,IF($O68="M-F",(AY68*5),IF($O68="T-Su",(AY68*4)+AZ68+BA68,IF($O68="T-Sa",(AY68*4)+AZ68,IF($O68="T-F",(AY68*4),IF($O68="Su-F",(AY68*5)+AZ68+BA68,(AY68*5+AZ68+BA68))))))))</f>
        <v>0</v>
      </c>
      <c r="BE68" s="73"/>
      <c r="BF68" s="347" t="s">
        <v>562</v>
      </c>
      <c r="BG68" s="73"/>
      <c r="BH68" s="73"/>
      <c r="BI68" s="73"/>
    </row>
    <row r="69" spans="1:61" s="63" customFormat="1">
      <c r="A69" s="57" t="s">
        <v>199</v>
      </c>
      <c r="B69" s="34" t="s">
        <v>132</v>
      </c>
      <c r="C69" s="34" t="s">
        <v>165</v>
      </c>
      <c r="D69" s="35" t="s">
        <v>166</v>
      </c>
      <c r="E69" s="58" t="s">
        <v>198</v>
      </c>
      <c r="F69" s="37">
        <v>1273300</v>
      </c>
      <c r="G69" s="34" t="s">
        <v>39</v>
      </c>
      <c r="H69" s="34" t="s">
        <v>47</v>
      </c>
      <c r="I69" s="34">
        <v>10</v>
      </c>
      <c r="J69" s="34">
        <v>195</v>
      </c>
      <c r="K69" s="34">
        <f t="shared" si="37"/>
        <v>1950</v>
      </c>
      <c r="L69" s="38"/>
      <c r="M69" s="38" t="s">
        <v>42</v>
      </c>
      <c r="N69" s="34" t="s">
        <v>43</v>
      </c>
      <c r="O69" s="58" t="s">
        <v>44</v>
      </c>
      <c r="P69" s="39" t="s">
        <v>200</v>
      </c>
      <c r="Q69" s="59" t="s">
        <v>46</v>
      </c>
      <c r="R69" s="68">
        <f>35588-3888</f>
        <v>31700</v>
      </c>
      <c r="S69" s="44">
        <f>34402-2178</f>
        <v>32224</v>
      </c>
      <c r="T69" s="69"/>
      <c r="U69" s="44">
        <f>3888+22</f>
        <v>3910</v>
      </c>
      <c r="V69" s="44">
        <f>2178+22</f>
        <v>2200</v>
      </c>
      <c r="W69" s="44"/>
      <c r="X69" s="68">
        <f>R69+U69</f>
        <v>35610</v>
      </c>
      <c r="Y69" s="44">
        <f>S69+V69</f>
        <v>34424</v>
      </c>
      <c r="Z69" s="69"/>
      <c r="AA69" s="44"/>
      <c r="AB69" s="44"/>
      <c r="AC69" s="44"/>
      <c r="AD69" s="70">
        <v>29637</v>
      </c>
      <c r="AE69" s="48">
        <v>32384</v>
      </c>
      <c r="AF69" s="71"/>
      <c r="AG69" s="48">
        <v>5068</v>
      </c>
      <c r="AH69" s="48">
        <v>2898</v>
      </c>
      <c r="AI69" s="48"/>
      <c r="AJ69" s="70">
        <f t="shared" si="34"/>
        <v>34705</v>
      </c>
      <c r="AK69" s="48">
        <f t="shared" si="34"/>
        <v>35282</v>
      </c>
      <c r="AL69" s="71">
        <f t="shared" si="34"/>
        <v>0</v>
      </c>
      <c r="AM69" s="70">
        <v>4482</v>
      </c>
      <c r="AN69" s="48">
        <v>4730</v>
      </c>
      <c r="AO69" s="71"/>
      <c r="AP69" s="49">
        <f>AVERAGE(R69,AD69)</f>
        <v>30668.5</v>
      </c>
      <c r="AQ69" s="49">
        <f>AVERAGE(S69,AE69)</f>
        <v>32304</v>
      </c>
      <c r="AR69" s="49"/>
      <c r="AS69" s="60">
        <f>AVERAGE(U69,AG69)</f>
        <v>4489</v>
      </c>
      <c r="AT69" s="49">
        <f>AVERAGE(V69,AH69)</f>
        <v>2549</v>
      </c>
      <c r="AU69" s="61"/>
      <c r="AV69" s="53">
        <f t="shared" ref="AV69:AZ70" si="39">AVERAGE(X69,AJ69)</f>
        <v>35157.5</v>
      </c>
      <c r="AW69" s="53">
        <f t="shared" si="39"/>
        <v>34853</v>
      </c>
      <c r="AX69" s="53">
        <f t="shared" si="39"/>
        <v>0</v>
      </c>
      <c r="AY69" s="60">
        <f t="shared" si="39"/>
        <v>4482</v>
      </c>
      <c r="AZ69" s="49">
        <f t="shared" si="39"/>
        <v>4730</v>
      </c>
      <c r="BA69" s="61"/>
      <c r="BB69" s="54">
        <f t="shared" si="32"/>
        <v>210640.5</v>
      </c>
      <c r="BC69" s="54">
        <f t="shared" si="33"/>
        <v>35106.75</v>
      </c>
      <c r="BD69" s="62">
        <f t="shared" si="38"/>
        <v>27140</v>
      </c>
      <c r="BE69" s="56"/>
      <c r="BF69" s="330"/>
      <c r="BG69" s="56"/>
      <c r="BH69" s="56"/>
      <c r="BI69" s="56"/>
    </row>
    <row r="70" spans="1:61" s="56" customFormat="1">
      <c r="A70" s="57" t="s">
        <v>201</v>
      </c>
      <c r="B70" s="34" t="s">
        <v>35</v>
      </c>
      <c r="C70" s="34" t="s">
        <v>165</v>
      </c>
      <c r="D70" s="35" t="s">
        <v>166</v>
      </c>
      <c r="E70" s="58" t="s">
        <v>198</v>
      </c>
      <c r="F70" s="37">
        <v>1273300</v>
      </c>
      <c r="G70" s="34" t="s">
        <v>39</v>
      </c>
      <c r="H70" s="34" t="s">
        <v>40</v>
      </c>
      <c r="I70" s="34">
        <v>10</v>
      </c>
      <c r="J70" s="34">
        <v>310</v>
      </c>
      <c r="K70" s="34">
        <f t="shared" si="37"/>
        <v>3100</v>
      </c>
      <c r="L70" s="38" t="s">
        <v>107</v>
      </c>
      <c r="M70" s="38" t="s">
        <v>42</v>
      </c>
      <c r="N70" s="34" t="s">
        <v>43</v>
      </c>
      <c r="O70" s="58" t="s">
        <v>44</v>
      </c>
      <c r="P70" s="39" t="s">
        <v>45</v>
      </c>
      <c r="Q70" s="59" t="s">
        <v>46</v>
      </c>
      <c r="R70" s="68">
        <f>111178-4791</f>
        <v>106387</v>
      </c>
      <c r="S70" s="44">
        <f>100367-2199</f>
        <v>98168</v>
      </c>
      <c r="T70" s="69"/>
      <c r="U70" s="44">
        <f>366+4791</f>
        <v>5157</v>
      </c>
      <c r="V70" s="44">
        <f>414+2199</f>
        <v>2613</v>
      </c>
      <c r="W70" s="44"/>
      <c r="X70" s="68">
        <f>R70+U70</f>
        <v>111544</v>
      </c>
      <c r="Y70" s="44">
        <f>S70+V70</f>
        <v>100781</v>
      </c>
      <c r="Z70" s="69"/>
      <c r="AA70" s="44"/>
      <c r="AB70" s="44"/>
      <c r="AC70" s="44"/>
      <c r="AD70" s="70">
        <v>82510</v>
      </c>
      <c r="AE70" s="48">
        <v>95822</v>
      </c>
      <c r="AF70" s="71"/>
      <c r="AG70" s="48">
        <v>28762</v>
      </c>
      <c r="AH70" s="48">
        <v>11395</v>
      </c>
      <c r="AI70" s="48"/>
      <c r="AJ70" s="70">
        <f t="shared" si="34"/>
        <v>111272</v>
      </c>
      <c r="AK70" s="48">
        <f t="shared" si="34"/>
        <v>107217</v>
      </c>
      <c r="AL70" s="71">
        <f t="shared" si="34"/>
        <v>0</v>
      </c>
      <c r="AM70" s="70">
        <v>26147</v>
      </c>
      <c r="AN70" s="48">
        <v>11098</v>
      </c>
      <c r="AO70" s="71"/>
      <c r="AP70" s="49">
        <f>AVERAGE(R70,AD70)</f>
        <v>94448.5</v>
      </c>
      <c r="AQ70" s="49">
        <f>AVERAGE(S70,AE70)</f>
        <v>96995</v>
      </c>
      <c r="AR70" s="49"/>
      <c r="AS70" s="60">
        <f>AVERAGE(U70,AG70)</f>
        <v>16959.5</v>
      </c>
      <c r="AT70" s="49">
        <f>AVERAGE(V70,AH70)</f>
        <v>7004</v>
      </c>
      <c r="AU70" s="61"/>
      <c r="AV70" s="53">
        <f t="shared" si="39"/>
        <v>111408</v>
      </c>
      <c r="AW70" s="53">
        <f t="shared" si="39"/>
        <v>103999</v>
      </c>
      <c r="AX70" s="53">
        <f t="shared" si="39"/>
        <v>0</v>
      </c>
      <c r="AY70" s="60">
        <f t="shared" si="39"/>
        <v>26147</v>
      </c>
      <c r="AZ70" s="49">
        <f t="shared" si="39"/>
        <v>11098</v>
      </c>
      <c r="BA70" s="61"/>
      <c r="BB70" s="54">
        <f t="shared" si="32"/>
        <v>661039</v>
      </c>
      <c r="BC70" s="54">
        <f t="shared" si="33"/>
        <v>110173.16666666667</v>
      </c>
      <c r="BD70" s="62">
        <f t="shared" si="38"/>
        <v>141833</v>
      </c>
      <c r="BF70" s="330" t="s">
        <v>563</v>
      </c>
    </row>
    <row r="71" spans="1:61" s="56" customFormat="1">
      <c r="A71" s="57" t="s">
        <v>490</v>
      </c>
      <c r="B71" s="34" t="s">
        <v>35</v>
      </c>
      <c r="C71" s="34" t="s">
        <v>165</v>
      </c>
      <c r="D71" s="35" t="s">
        <v>166</v>
      </c>
      <c r="E71" s="58" t="s">
        <v>198</v>
      </c>
      <c r="F71" s="37">
        <v>1273300</v>
      </c>
      <c r="G71" s="34" t="s">
        <v>39</v>
      </c>
      <c r="H71" s="34" t="s">
        <v>47</v>
      </c>
      <c r="I71" s="34">
        <v>10</v>
      </c>
      <c r="J71" s="34">
        <v>160</v>
      </c>
      <c r="K71" s="34">
        <f t="shared" si="37"/>
        <v>1600</v>
      </c>
      <c r="L71" s="38" t="s">
        <v>48</v>
      </c>
      <c r="M71" s="38" t="s">
        <v>42</v>
      </c>
      <c r="N71" s="34" t="s">
        <v>43</v>
      </c>
      <c r="O71" s="58" t="s">
        <v>49</v>
      </c>
      <c r="P71" s="39" t="s">
        <v>50</v>
      </c>
      <c r="Q71" s="59" t="s">
        <v>51</v>
      </c>
      <c r="R71" s="68"/>
      <c r="S71" s="44"/>
      <c r="T71" s="69"/>
      <c r="U71" s="44"/>
      <c r="V71" s="44"/>
      <c r="W71" s="44"/>
      <c r="X71" s="68"/>
      <c r="Y71" s="44"/>
      <c r="Z71" s="69"/>
      <c r="AA71" s="44"/>
      <c r="AB71" s="44"/>
      <c r="AC71" s="44"/>
      <c r="AD71" s="70"/>
      <c r="AE71" s="48"/>
      <c r="AF71" s="71"/>
      <c r="AG71" s="48"/>
      <c r="AH71" s="48"/>
      <c r="AI71" s="48"/>
      <c r="AJ71" s="70">
        <f t="shared" si="34"/>
        <v>0</v>
      </c>
      <c r="AK71" s="48">
        <f t="shared" si="34"/>
        <v>0</v>
      </c>
      <c r="AL71" s="71">
        <f t="shared" si="34"/>
        <v>0</v>
      </c>
      <c r="AM71" s="70"/>
      <c r="AN71" s="48"/>
      <c r="AO71" s="71"/>
      <c r="AP71" s="49">
        <v>31490</v>
      </c>
      <c r="AQ71" s="49">
        <v>26941</v>
      </c>
      <c r="AR71" s="49">
        <v>29398</v>
      </c>
      <c r="AS71" s="60">
        <v>11221</v>
      </c>
      <c r="AT71" s="49">
        <v>9882</v>
      </c>
      <c r="AU71" s="61">
        <v>9300</v>
      </c>
      <c r="AV71" s="53">
        <f>AP71+AS71</f>
        <v>42711</v>
      </c>
      <c r="AW71" s="53">
        <f>AQ71+AT71</f>
        <v>36823</v>
      </c>
      <c r="AX71" s="53">
        <f>AR71+AU71</f>
        <v>38698</v>
      </c>
      <c r="AY71" s="60">
        <f>1051+3223+1665</f>
        <v>5939</v>
      </c>
      <c r="AZ71" s="49">
        <f>1043+3139+1691</f>
        <v>5873</v>
      </c>
      <c r="BA71" s="61">
        <f>1047+3139+1691</f>
        <v>5877</v>
      </c>
      <c r="BB71" s="54">
        <f t="shared" si="32"/>
        <v>289076</v>
      </c>
      <c r="BC71" s="54">
        <f t="shared" si="33"/>
        <v>41296.571428571428</v>
      </c>
      <c r="BD71" s="62">
        <f t="shared" si="38"/>
        <v>41445</v>
      </c>
      <c r="BF71" s="330"/>
    </row>
    <row r="72" spans="1:61" s="56" customFormat="1">
      <c r="A72" s="57" t="s">
        <v>202</v>
      </c>
      <c r="B72" s="34" t="s">
        <v>35</v>
      </c>
      <c r="C72" s="34" t="s">
        <v>165</v>
      </c>
      <c r="D72" s="35" t="s">
        <v>166</v>
      </c>
      <c r="E72" s="58" t="s">
        <v>198</v>
      </c>
      <c r="F72" s="37">
        <v>1273300</v>
      </c>
      <c r="G72" s="34" t="s">
        <v>39</v>
      </c>
      <c r="H72" s="34" t="s">
        <v>47</v>
      </c>
      <c r="I72" s="34">
        <v>6</v>
      </c>
      <c r="J72" s="34">
        <v>175</v>
      </c>
      <c r="K72" s="34">
        <f t="shared" si="37"/>
        <v>1050</v>
      </c>
      <c r="L72" s="34"/>
      <c r="M72" s="34" t="s">
        <v>53</v>
      </c>
      <c r="N72" s="34" t="s">
        <v>43</v>
      </c>
      <c r="O72" s="58" t="s">
        <v>54</v>
      </c>
      <c r="P72" s="39" t="s">
        <v>55</v>
      </c>
      <c r="Q72" s="59" t="s">
        <v>51</v>
      </c>
      <c r="R72" s="283"/>
      <c r="S72" s="284"/>
      <c r="T72" s="285"/>
      <c r="U72" s="284"/>
      <c r="V72" s="284"/>
      <c r="W72" s="284"/>
      <c r="X72" s="283"/>
      <c r="Y72" s="284"/>
      <c r="Z72" s="285"/>
      <c r="AA72" s="284"/>
      <c r="AB72" s="284"/>
      <c r="AC72" s="284"/>
      <c r="AD72" s="286"/>
      <c r="AE72" s="287"/>
      <c r="AF72" s="288"/>
      <c r="AG72" s="287"/>
      <c r="AH72" s="287"/>
      <c r="AI72" s="287"/>
      <c r="AJ72" s="286"/>
      <c r="AK72" s="287"/>
      <c r="AL72" s="288"/>
      <c r="AM72" s="286"/>
      <c r="AN72" s="287"/>
      <c r="AO72" s="288"/>
      <c r="AP72" s="34"/>
      <c r="AQ72" s="34"/>
      <c r="AR72" s="34"/>
      <c r="AS72" s="60">
        <v>49777</v>
      </c>
      <c r="AT72" s="49"/>
      <c r="AU72" s="61"/>
      <c r="AV72" s="53">
        <f t="shared" ref="AV72:AX82" si="40">AP72+AS72</f>
        <v>49777</v>
      </c>
      <c r="AW72" s="53">
        <f t="shared" si="40"/>
        <v>0</v>
      </c>
      <c r="AX72" s="53"/>
      <c r="AY72" s="35"/>
      <c r="AZ72" s="34"/>
      <c r="BA72" s="64"/>
      <c r="BB72" s="54">
        <f t="shared" si="32"/>
        <v>248885</v>
      </c>
      <c r="BC72" s="54">
        <f t="shared" si="33"/>
        <v>49777</v>
      </c>
      <c r="BD72" s="62">
        <f t="shared" si="38"/>
        <v>0</v>
      </c>
      <c r="BE72" s="387"/>
      <c r="BF72" s="58"/>
      <c r="BG72" s="66">
        <v>2005</v>
      </c>
      <c r="BH72" s="72" t="s">
        <v>203</v>
      </c>
    </row>
    <row r="73" spans="1:61" s="73" customFormat="1">
      <c r="A73" s="350" t="s">
        <v>491</v>
      </c>
      <c r="B73" s="75" t="s">
        <v>35</v>
      </c>
      <c r="C73" s="75" t="s">
        <v>165</v>
      </c>
      <c r="D73" s="76" t="s">
        <v>166</v>
      </c>
      <c r="E73" s="77" t="s">
        <v>204</v>
      </c>
      <c r="F73" s="78">
        <v>32092</v>
      </c>
      <c r="G73" s="75" t="s">
        <v>82</v>
      </c>
      <c r="H73" s="75" t="s">
        <v>40</v>
      </c>
      <c r="I73" s="75">
        <v>10</v>
      </c>
      <c r="J73" s="75">
        <v>301</v>
      </c>
      <c r="K73" s="75">
        <f t="shared" si="37"/>
        <v>3010</v>
      </c>
      <c r="L73" s="79"/>
      <c r="M73" s="79" t="s">
        <v>42</v>
      </c>
      <c r="N73" s="75" t="s">
        <v>64</v>
      </c>
      <c r="O73" s="77" t="s">
        <v>44</v>
      </c>
      <c r="P73" s="80" t="s">
        <v>50</v>
      </c>
      <c r="Q73" s="81" t="s">
        <v>51</v>
      </c>
      <c r="R73" s="82"/>
      <c r="S73" s="83"/>
      <c r="T73" s="84"/>
      <c r="U73" s="83"/>
      <c r="V73" s="83"/>
      <c r="W73" s="83"/>
      <c r="X73" s="82"/>
      <c r="Y73" s="83"/>
      <c r="Z73" s="84"/>
      <c r="AA73" s="83"/>
      <c r="AB73" s="83"/>
      <c r="AC73" s="83"/>
      <c r="AD73" s="82"/>
      <c r="AE73" s="83"/>
      <c r="AF73" s="84"/>
      <c r="AG73" s="83"/>
      <c r="AH73" s="83"/>
      <c r="AI73" s="83"/>
      <c r="AJ73" s="82">
        <f t="shared" ref="AJ73:AL86" si="41">AD73+AG73</f>
        <v>0</v>
      </c>
      <c r="AK73" s="83">
        <f t="shared" si="41"/>
        <v>0</v>
      </c>
      <c r="AL73" s="84">
        <f t="shared" si="41"/>
        <v>0</v>
      </c>
      <c r="AM73" s="82"/>
      <c r="AN73" s="83"/>
      <c r="AO73" s="84"/>
      <c r="AP73" s="83">
        <f>(12675+12939+12991+13946)/4</f>
        <v>13137.75</v>
      </c>
      <c r="AQ73" s="83">
        <v>13483</v>
      </c>
      <c r="AR73" s="83"/>
      <c r="AS73" s="82"/>
      <c r="AT73" s="83"/>
      <c r="AU73" s="297">
        <v>113253</v>
      </c>
      <c r="AV73" s="85">
        <f t="shared" si="40"/>
        <v>13137.75</v>
      </c>
      <c r="AW73" s="85">
        <f t="shared" si="40"/>
        <v>13483</v>
      </c>
      <c r="AX73" s="296">
        <f t="shared" si="40"/>
        <v>113253</v>
      </c>
      <c r="AY73" s="82"/>
      <c r="AZ73" s="83"/>
      <c r="BA73" s="84"/>
      <c r="BB73" s="86">
        <f>(AV73*5)+AW73+AX73</f>
        <v>192424.75</v>
      </c>
      <c r="BC73" s="86">
        <f t="shared" ref="BC73:BC78" si="42">IF($O73="M-Sa",(BB73/6),IF($O73="m-su",(BB73/7),IF($O73="M-F",(BB73/5),IF($O73="T-Su",(BB73/6),IF($O73="T-Sa",(BB73/5),IF($O73="T-F",(BB73/4),IF($O73="Su-F",(BB73/6),(BB73/7))))))))</f>
        <v>32070.791666666668</v>
      </c>
      <c r="BD73" s="87">
        <f t="shared" si="38"/>
        <v>0</v>
      </c>
      <c r="BF73" s="347" t="s">
        <v>562</v>
      </c>
    </row>
    <row r="74" spans="1:61" s="73" customFormat="1">
      <c r="A74" s="88" t="s">
        <v>492</v>
      </c>
      <c r="B74" s="75" t="s">
        <v>35</v>
      </c>
      <c r="C74" s="75" t="s">
        <v>165</v>
      </c>
      <c r="D74" s="76" t="s">
        <v>166</v>
      </c>
      <c r="E74" s="77" t="s">
        <v>205</v>
      </c>
      <c r="F74" s="78">
        <v>24017</v>
      </c>
      <c r="G74" s="75" t="s">
        <v>82</v>
      </c>
      <c r="H74" s="75" t="s">
        <v>40</v>
      </c>
      <c r="I74" s="75">
        <v>10</v>
      </c>
      <c r="J74" s="75">
        <v>301</v>
      </c>
      <c r="K74" s="75">
        <f t="shared" si="37"/>
        <v>3010</v>
      </c>
      <c r="L74" s="79"/>
      <c r="M74" s="79" t="s">
        <v>42</v>
      </c>
      <c r="N74" s="75" t="s">
        <v>64</v>
      </c>
      <c r="O74" s="77" t="s">
        <v>171</v>
      </c>
      <c r="P74" s="80" t="s">
        <v>50</v>
      </c>
      <c r="Q74" s="81" t="s">
        <v>51</v>
      </c>
      <c r="R74" s="82"/>
      <c r="S74" s="83"/>
      <c r="T74" s="84"/>
      <c r="U74" s="83"/>
      <c r="V74" s="83"/>
      <c r="W74" s="83"/>
      <c r="X74" s="82"/>
      <c r="Y74" s="83"/>
      <c r="Z74" s="84"/>
      <c r="AA74" s="83"/>
      <c r="AB74" s="83"/>
      <c r="AC74" s="83"/>
      <c r="AD74" s="82"/>
      <c r="AE74" s="83"/>
      <c r="AF74" s="84"/>
      <c r="AG74" s="83"/>
      <c r="AH74" s="83"/>
      <c r="AI74" s="83"/>
      <c r="AJ74" s="82">
        <f t="shared" si="41"/>
        <v>0</v>
      </c>
      <c r="AK74" s="83">
        <f t="shared" si="41"/>
        <v>0</v>
      </c>
      <c r="AL74" s="84">
        <f t="shared" si="41"/>
        <v>0</v>
      </c>
      <c r="AM74" s="82"/>
      <c r="AN74" s="83"/>
      <c r="AO74" s="84"/>
      <c r="AP74" s="83">
        <v>4698</v>
      </c>
      <c r="AQ74" s="83">
        <v>4992</v>
      </c>
      <c r="AR74" s="83"/>
      <c r="AS74" s="82"/>
      <c r="AT74" s="83"/>
      <c r="AU74" s="84"/>
      <c r="AV74" s="85">
        <f t="shared" si="40"/>
        <v>4698</v>
      </c>
      <c r="AW74" s="85">
        <f t="shared" si="40"/>
        <v>4992</v>
      </c>
      <c r="AX74" s="85">
        <f t="shared" si="40"/>
        <v>0</v>
      </c>
      <c r="AY74" s="82"/>
      <c r="AZ74" s="83"/>
      <c r="BA74" s="84"/>
      <c r="BB74" s="86">
        <f>IF($O74="M-Sa",(AV74*5)+AW74+AX74,IF($O74="m-su",(AV74*5)+AW74+AX74,IF($O74="M-F",(AV74*5),IF($O74="T-Su",(AV74*4)+AW74+AX74,IF($O74="T-Sa",(AV74*4)+AW74,IF($O74="T-F",(AV74*4),IF($O74="Su-F",(AV74*5)+AW74+AX74,(AV74*5+AW74+AX74))))))))</f>
        <v>23784</v>
      </c>
      <c r="BC74" s="86">
        <f t="shared" si="42"/>
        <v>4756.8</v>
      </c>
      <c r="BD74" s="87">
        <f t="shared" si="38"/>
        <v>0</v>
      </c>
      <c r="BF74" s="347" t="s">
        <v>561</v>
      </c>
      <c r="BH74" s="402" t="s">
        <v>583</v>
      </c>
    </row>
    <row r="75" spans="1:61" s="73" customFormat="1">
      <c r="A75" s="57" t="s">
        <v>206</v>
      </c>
      <c r="B75" s="34" t="s">
        <v>35</v>
      </c>
      <c r="C75" s="34" t="s">
        <v>165</v>
      </c>
      <c r="D75" s="35" t="s">
        <v>166</v>
      </c>
      <c r="E75" s="58" t="s">
        <v>207</v>
      </c>
      <c r="F75" s="37">
        <v>122400</v>
      </c>
      <c r="G75" s="34" t="s">
        <v>68</v>
      </c>
      <c r="H75" s="34" t="s">
        <v>40</v>
      </c>
      <c r="I75" s="34">
        <v>10</v>
      </c>
      <c r="J75" s="34">
        <v>287</v>
      </c>
      <c r="K75" s="34">
        <f t="shared" si="37"/>
        <v>2870</v>
      </c>
      <c r="L75" s="38"/>
      <c r="M75" s="38" t="s">
        <v>42</v>
      </c>
      <c r="N75" s="34" t="s">
        <v>64</v>
      </c>
      <c r="O75" s="58" t="s">
        <v>44</v>
      </c>
      <c r="P75" s="39" t="s">
        <v>50</v>
      </c>
      <c r="Q75" s="59" t="s">
        <v>51</v>
      </c>
      <c r="R75" s="68"/>
      <c r="S75" s="44"/>
      <c r="T75" s="69"/>
      <c r="U75" s="44"/>
      <c r="V75" s="44"/>
      <c r="W75" s="44"/>
      <c r="X75" s="68"/>
      <c r="Y75" s="44"/>
      <c r="Z75" s="69"/>
      <c r="AA75" s="44"/>
      <c r="AB75" s="44"/>
      <c r="AC75" s="44"/>
      <c r="AD75" s="70"/>
      <c r="AE75" s="48"/>
      <c r="AF75" s="71"/>
      <c r="AG75" s="48"/>
      <c r="AH75" s="48"/>
      <c r="AI75" s="48"/>
      <c r="AJ75" s="70">
        <f t="shared" si="41"/>
        <v>0</v>
      </c>
      <c r="AK75" s="48">
        <f t="shared" si="41"/>
        <v>0</v>
      </c>
      <c r="AL75" s="71">
        <f t="shared" si="41"/>
        <v>0</v>
      </c>
      <c r="AM75" s="70"/>
      <c r="AN75" s="48"/>
      <c r="AO75" s="71"/>
      <c r="AP75" s="49">
        <v>10504</v>
      </c>
      <c r="AQ75" s="49">
        <v>10936</v>
      </c>
      <c r="AR75" s="49"/>
      <c r="AS75" s="60">
        <v>7958</v>
      </c>
      <c r="AT75" s="49">
        <v>711</v>
      </c>
      <c r="AU75" s="61"/>
      <c r="AV75" s="53">
        <f t="shared" si="40"/>
        <v>18462</v>
      </c>
      <c r="AW75" s="53">
        <f t="shared" si="40"/>
        <v>11647</v>
      </c>
      <c r="AX75" s="53">
        <f t="shared" si="40"/>
        <v>0</v>
      </c>
      <c r="AY75" s="60">
        <f>351+234+23</f>
        <v>608</v>
      </c>
      <c r="AZ75" s="49">
        <f>365+244+25</f>
        <v>634</v>
      </c>
      <c r="BA75" s="61"/>
      <c r="BB75" s="54">
        <f>IF($O75="M-Sa",(AV75*5)+AW75+AX75,IF($O75="m-su",(AV75*5)+AW75+AX75,IF($O75="M-F",(AV75*5),IF($O75="T-Su",(AV75*4)+AW75+AX75,IF($O75="T-Sa",(AV75*4)+AW75,IF($O75="T-F",(AV75*4),IF($O75="Su-F",(AV75*5)+AW75+AX75,(AV75*5+AW75+AX75))))))))</f>
        <v>103957</v>
      </c>
      <c r="BC75" s="54">
        <f t="shared" si="42"/>
        <v>17326.166666666668</v>
      </c>
      <c r="BD75" s="62">
        <f t="shared" si="38"/>
        <v>3674</v>
      </c>
      <c r="BE75" s="56"/>
      <c r="BF75" s="330"/>
      <c r="BG75" s="56"/>
      <c r="BH75" s="56"/>
      <c r="BI75" s="56"/>
    </row>
    <row r="76" spans="1:61" s="101" customFormat="1">
      <c r="A76" s="57" t="s">
        <v>493</v>
      </c>
      <c r="B76" s="34" t="s">
        <v>35</v>
      </c>
      <c r="C76" s="34" t="s">
        <v>165</v>
      </c>
      <c r="D76" s="35" t="s">
        <v>166</v>
      </c>
      <c r="E76" s="58" t="s">
        <v>208</v>
      </c>
      <c r="F76" s="37">
        <v>89555</v>
      </c>
      <c r="G76" s="34" t="s">
        <v>63</v>
      </c>
      <c r="H76" s="34" t="s">
        <v>40</v>
      </c>
      <c r="I76" s="34">
        <v>10</v>
      </c>
      <c r="J76" s="34">
        <v>301</v>
      </c>
      <c r="K76" s="34">
        <f t="shared" si="37"/>
        <v>3010</v>
      </c>
      <c r="L76" s="38"/>
      <c r="M76" s="38" t="s">
        <v>42</v>
      </c>
      <c r="N76" s="34" t="s">
        <v>64</v>
      </c>
      <c r="O76" s="58" t="s">
        <v>44</v>
      </c>
      <c r="P76" s="39" t="s">
        <v>50</v>
      </c>
      <c r="Q76" s="59" t="s">
        <v>51</v>
      </c>
      <c r="R76" s="68"/>
      <c r="S76" s="44"/>
      <c r="T76" s="69"/>
      <c r="U76" s="44"/>
      <c r="V76" s="44"/>
      <c r="W76" s="44"/>
      <c r="X76" s="68"/>
      <c r="Y76" s="44"/>
      <c r="Z76" s="69"/>
      <c r="AA76" s="44"/>
      <c r="AB76" s="44"/>
      <c r="AC76" s="44"/>
      <c r="AD76" s="70"/>
      <c r="AE76" s="48"/>
      <c r="AF76" s="71"/>
      <c r="AG76" s="48"/>
      <c r="AH76" s="48"/>
      <c r="AI76" s="48"/>
      <c r="AJ76" s="70">
        <f t="shared" si="41"/>
        <v>0</v>
      </c>
      <c r="AK76" s="48">
        <f t="shared" si="41"/>
        <v>0</v>
      </c>
      <c r="AL76" s="71">
        <f t="shared" si="41"/>
        <v>0</v>
      </c>
      <c r="AM76" s="70"/>
      <c r="AN76" s="48"/>
      <c r="AO76" s="71"/>
      <c r="AP76" s="49">
        <v>10501</v>
      </c>
      <c r="AQ76" s="49">
        <v>11499</v>
      </c>
      <c r="AR76" s="49"/>
      <c r="AS76" s="60">
        <v>118</v>
      </c>
      <c r="AT76" s="49">
        <v>112</v>
      </c>
      <c r="AU76" s="61"/>
      <c r="AV76" s="53">
        <f t="shared" si="40"/>
        <v>10619</v>
      </c>
      <c r="AW76" s="53">
        <f t="shared" si="40"/>
        <v>11611</v>
      </c>
      <c r="AX76" s="53">
        <f t="shared" si="40"/>
        <v>0</v>
      </c>
      <c r="AY76" s="60">
        <v>292</v>
      </c>
      <c r="AZ76" s="49">
        <v>293</v>
      </c>
      <c r="BA76" s="61"/>
      <c r="BB76" s="54">
        <f>IF($O76="M-Sa",(AV76*5)+AW76+AX76,IF($O76="m-su",(AV76*5)+AW76+AX76,IF($O76="M-F",(AV76*5),IF($O76="T-Su",(AV76*4)+AW76+AX76,IF($O76="T-Sa",(AV76*4)+AW76,IF($O76="T-F",(AV76*4),IF($O76="Su-F",(AV76*5)+AW76+AX76,(AV76*5+AW76+AX76))))))))</f>
        <v>64706</v>
      </c>
      <c r="BC76" s="54">
        <f t="shared" si="42"/>
        <v>10784.333333333334</v>
      </c>
      <c r="BD76" s="62">
        <f t="shared" si="38"/>
        <v>1753</v>
      </c>
      <c r="BE76" s="56"/>
      <c r="BF76" s="330"/>
      <c r="BG76" s="56"/>
      <c r="BH76" s="56"/>
      <c r="BI76" s="56"/>
    </row>
    <row r="77" spans="1:61" s="73" customFormat="1">
      <c r="A77" s="57" t="s">
        <v>494</v>
      </c>
      <c r="B77" s="34" t="s">
        <v>35</v>
      </c>
      <c r="C77" s="34" t="s">
        <v>165</v>
      </c>
      <c r="D77" s="35" t="s">
        <v>166</v>
      </c>
      <c r="E77" s="58" t="s">
        <v>209</v>
      </c>
      <c r="F77" s="37">
        <v>79800</v>
      </c>
      <c r="G77" s="34" t="s">
        <v>63</v>
      </c>
      <c r="H77" s="34" t="s">
        <v>40</v>
      </c>
      <c r="I77" s="34">
        <v>10</v>
      </c>
      <c r="J77" s="34">
        <v>301</v>
      </c>
      <c r="K77" s="34">
        <f t="shared" si="37"/>
        <v>3010</v>
      </c>
      <c r="L77" s="38"/>
      <c r="M77" s="38" t="s">
        <v>42</v>
      </c>
      <c r="N77" s="34" t="s">
        <v>64</v>
      </c>
      <c r="O77" s="58" t="s">
        <v>44</v>
      </c>
      <c r="P77" s="39" t="s">
        <v>50</v>
      </c>
      <c r="Q77" s="59" t="s">
        <v>51</v>
      </c>
      <c r="R77" s="68"/>
      <c r="S77" s="44"/>
      <c r="T77" s="69"/>
      <c r="U77" s="44"/>
      <c r="V77" s="44"/>
      <c r="W77" s="44"/>
      <c r="X77" s="68"/>
      <c r="Y77" s="44"/>
      <c r="Z77" s="69"/>
      <c r="AA77" s="44"/>
      <c r="AB77" s="44"/>
      <c r="AC77" s="44"/>
      <c r="AD77" s="70"/>
      <c r="AE77" s="48"/>
      <c r="AF77" s="71"/>
      <c r="AG77" s="48"/>
      <c r="AH77" s="48"/>
      <c r="AI77" s="48"/>
      <c r="AJ77" s="70">
        <f t="shared" si="41"/>
        <v>0</v>
      </c>
      <c r="AK77" s="48">
        <f t="shared" si="41"/>
        <v>0</v>
      </c>
      <c r="AL77" s="71">
        <f t="shared" si="41"/>
        <v>0</v>
      </c>
      <c r="AM77" s="70"/>
      <c r="AN77" s="48"/>
      <c r="AO77" s="71"/>
      <c r="AP77" s="49">
        <v>11174</v>
      </c>
      <c r="AQ77" s="49">
        <v>11277</v>
      </c>
      <c r="AR77" s="49"/>
      <c r="AS77" s="60">
        <v>4102</v>
      </c>
      <c r="AT77" s="49">
        <v>570</v>
      </c>
      <c r="AU77" s="61"/>
      <c r="AV77" s="53">
        <f t="shared" si="40"/>
        <v>15276</v>
      </c>
      <c r="AW77" s="53">
        <f t="shared" si="40"/>
        <v>11847</v>
      </c>
      <c r="AX77" s="53">
        <f t="shared" si="40"/>
        <v>0</v>
      </c>
      <c r="AY77" s="60">
        <f>150+89+20</f>
        <v>259</v>
      </c>
      <c r="AZ77" s="49">
        <f>139+82+21</f>
        <v>242</v>
      </c>
      <c r="BA77" s="61"/>
      <c r="BB77" s="54">
        <f>IF($O77="M-Sa",(AV77*5)+AW77+AX77,IF($O77="m-su",(AV77*5)+AW77+AX77,IF($O77="M-F",(AV77*5),IF($O77="T-Su",(AV77*4)+AW77+AX77,IF($O77="T-Sa",(AV77*4)+AW77,IF($O77="T-F",(AV77*4),IF($O77="Su-F",(AV77*5)+AW77+AX77,(AV77*5+AW77+AX77))))))))</f>
        <v>88227</v>
      </c>
      <c r="BC77" s="54">
        <f t="shared" si="42"/>
        <v>14704.5</v>
      </c>
      <c r="BD77" s="62">
        <f t="shared" si="38"/>
        <v>1537</v>
      </c>
      <c r="BE77" s="56"/>
      <c r="BF77" s="330"/>
      <c r="BG77" s="56"/>
      <c r="BH77" s="56"/>
      <c r="BI77" s="56"/>
    </row>
    <row r="78" spans="1:61" s="73" customFormat="1">
      <c r="A78" s="350" t="s">
        <v>495</v>
      </c>
      <c r="B78" s="75" t="s">
        <v>35</v>
      </c>
      <c r="C78" s="75" t="s">
        <v>165</v>
      </c>
      <c r="D78" s="76" t="s">
        <v>166</v>
      </c>
      <c r="E78" s="77" t="s">
        <v>210</v>
      </c>
      <c r="F78" s="78">
        <v>14777</v>
      </c>
      <c r="G78" s="75" t="s">
        <v>82</v>
      </c>
      <c r="H78" s="75" t="s">
        <v>40</v>
      </c>
      <c r="I78" s="75">
        <v>10</v>
      </c>
      <c r="J78" s="75">
        <v>301</v>
      </c>
      <c r="K78" s="75">
        <f t="shared" si="37"/>
        <v>3010</v>
      </c>
      <c r="L78" s="79"/>
      <c r="M78" s="79" t="s">
        <v>42</v>
      </c>
      <c r="N78" s="75" t="s">
        <v>64</v>
      </c>
      <c r="O78" s="77" t="s">
        <v>44</v>
      </c>
      <c r="P78" s="80" t="s">
        <v>50</v>
      </c>
      <c r="Q78" s="81" t="s">
        <v>51</v>
      </c>
      <c r="R78" s="82"/>
      <c r="S78" s="83"/>
      <c r="T78" s="84"/>
      <c r="U78" s="83"/>
      <c r="V78" s="83"/>
      <c r="W78" s="83"/>
      <c r="X78" s="82"/>
      <c r="Y78" s="83"/>
      <c r="Z78" s="84"/>
      <c r="AA78" s="83"/>
      <c r="AB78" s="83"/>
      <c r="AC78" s="83"/>
      <c r="AD78" s="82"/>
      <c r="AE78" s="83"/>
      <c r="AF78" s="84"/>
      <c r="AG78" s="83"/>
      <c r="AH78" s="83"/>
      <c r="AI78" s="83"/>
      <c r="AJ78" s="82">
        <f t="shared" si="41"/>
        <v>0</v>
      </c>
      <c r="AK78" s="83">
        <f t="shared" si="41"/>
        <v>0</v>
      </c>
      <c r="AL78" s="84">
        <f t="shared" si="41"/>
        <v>0</v>
      </c>
      <c r="AM78" s="82"/>
      <c r="AN78" s="83"/>
      <c r="AO78" s="84"/>
      <c r="AP78" s="83">
        <v>9125</v>
      </c>
      <c r="AQ78" s="83">
        <v>9125</v>
      </c>
      <c r="AR78" s="83"/>
      <c r="AS78" s="82"/>
      <c r="AT78" s="83"/>
      <c r="AU78" s="297">
        <v>19973</v>
      </c>
      <c r="AV78" s="85">
        <f t="shared" si="40"/>
        <v>9125</v>
      </c>
      <c r="AW78" s="85">
        <f t="shared" si="40"/>
        <v>9125</v>
      </c>
      <c r="AX78" s="296">
        <f t="shared" si="40"/>
        <v>19973</v>
      </c>
      <c r="AY78" s="82"/>
      <c r="AZ78" s="83"/>
      <c r="BA78" s="84"/>
      <c r="BB78" s="86">
        <f>(AV78*4)+AW78+AX78</f>
        <v>65598</v>
      </c>
      <c r="BC78" s="86">
        <f t="shared" si="42"/>
        <v>10933</v>
      </c>
      <c r="BD78" s="87">
        <f t="shared" si="38"/>
        <v>0</v>
      </c>
      <c r="BF78" s="347" t="s">
        <v>562</v>
      </c>
    </row>
    <row r="79" spans="1:61" s="101" customFormat="1">
      <c r="A79" s="57" t="s">
        <v>496</v>
      </c>
      <c r="B79" s="34" t="s">
        <v>35</v>
      </c>
      <c r="C79" s="34" t="s">
        <v>165</v>
      </c>
      <c r="D79" s="35" t="s">
        <v>166</v>
      </c>
      <c r="E79" s="58" t="s">
        <v>211</v>
      </c>
      <c r="F79" s="37">
        <v>405800</v>
      </c>
      <c r="G79" s="34" t="s">
        <v>68</v>
      </c>
      <c r="H79" s="34" t="s">
        <v>40</v>
      </c>
      <c r="I79" s="34">
        <v>10</v>
      </c>
      <c r="J79" s="34">
        <v>301</v>
      </c>
      <c r="K79" s="34">
        <f t="shared" si="37"/>
        <v>3010</v>
      </c>
      <c r="L79" s="38"/>
      <c r="M79" s="38" t="s">
        <v>42</v>
      </c>
      <c r="N79" s="34" t="s">
        <v>64</v>
      </c>
      <c r="O79" s="58" t="s">
        <v>44</v>
      </c>
      <c r="P79" s="39" t="s">
        <v>50</v>
      </c>
      <c r="Q79" s="59" t="s">
        <v>51</v>
      </c>
      <c r="R79" s="68"/>
      <c r="S79" s="44"/>
      <c r="T79" s="69"/>
      <c r="U79" s="44"/>
      <c r="V79" s="44"/>
      <c r="W79" s="44"/>
      <c r="X79" s="68"/>
      <c r="Y79" s="44"/>
      <c r="Z79" s="69"/>
      <c r="AA79" s="44"/>
      <c r="AB79" s="44"/>
      <c r="AC79" s="44"/>
      <c r="AD79" s="70"/>
      <c r="AE79" s="48"/>
      <c r="AF79" s="71"/>
      <c r="AG79" s="48"/>
      <c r="AH79" s="48"/>
      <c r="AI79" s="48"/>
      <c r="AJ79" s="70">
        <f t="shared" si="41"/>
        <v>0</v>
      </c>
      <c r="AK79" s="48">
        <f t="shared" si="41"/>
        <v>0</v>
      </c>
      <c r="AL79" s="71">
        <f t="shared" si="41"/>
        <v>0</v>
      </c>
      <c r="AM79" s="70"/>
      <c r="AN79" s="48"/>
      <c r="AO79" s="71"/>
      <c r="AP79" s="49">
        <v>15209</v>
      </c>
      <c r="AQ79" s="49">
        <v>16552</v>
      </c>
      <c r="AR79" s="49"/>
      <c r="AS79" s="60">
        <v>18682</v>
      </c>
      <c r="AT79" s="49">
        <v>8645</v>
      </c>
      <c r="AU79" s="61"/>
      <c r="AV79" s="53">
        <f t="shared" si="40"/>
        <v>33891</v>
      </c>
      <c r="AW79" s="53">
        <f t="shared" si="40"/>
        <v>25197</v>
      </c>
      <c r="AX79" s="53">
        <f t="shared" si="40"/>
        <v>0</v>
      </c>
      <c r="AY79" s="60">
        <f>353+447+8257</f>
        <v>9057</v>
      </c>
      <c r="AZ79" s="49">
        <f>353+447+8061</f>
        <v>8861</v>
      </c>
      <c r="BA79" s="61"/>
      <c r="BB79" s="54">
        <f t="shared" ref="BB79:BB115" si="43">IF($O79="M-Sa",(AV79*5)+AW79+AX79,IF($O79="m-su",(AV79*5)+AW79+AX79,IF($O79="M-F",(AV79*5),IF($O79="T-Su",(AV79*4)+AW79+AX79,IF($O79="T-Sa",(AV79*4)+AW79,IF($O79="T-F",(AV79*4),IF($O79="Su-F",(AV79*5)+AW79+AX79,(AV79*5+AW79+AX79))))))))</f>
        <v>194652</v>
      </c>
      <c r="BC79" s="54">
        <f t="shared" ref="BC79:BC115" si="44">IF($O79="M-Sa",(BB79/6),IF($O79="m-su",(BB79/7),IF($O79="M-F",(BB79/5),IF($O79="T-Su",(BB79/6),IF($O79="T-Sa",(BB79/5),IF($O79="T-F",(BB79/4),IF($O79="Su-F",(BB79/6),(BB79/7))))))))</f>
        <v>32442</v>
      </c>
      <c r="BD79" s="62">
        <f t="shared" si="38"/>
        <v>54146</v>
      </c>
      <c r="BE79" s="56"/>
      <c r="BF79" s="330"/>
      <c r="BG79" s="56"/>
      <c r="BH79" s="56"/>
      <c r="BI79" s="56"/>
    </row>
    <row r="80" spans="1:61" s="73" customFormat="1">
      <c r="A80" s="88" t="s">
        <v>212</v>
      </c>
      <c r="B80" s="75" t="s">
        <v>35</v>
      </c>
      <c r="C80" s="75" t="s">
        <v>165</v>
      </c>
      <c r="D80" s="76" t="s">
        <v>166</v>
      </c>
      <c r="E80" s="77" t="s">
        <v>213</v>
      </c>
      <c r="F80" s="78">
        <v>41688</v>
      </c>
      <c r="G80" s="75" t="s">
        <v>82</v>
      </c>
      <c r="H80" s="75" t="s">
        <v>47</v>
      </c>
      <c r="I80" s="75">
        <v>9</v>
      </c>
      <c r="J80" s="75">
        <v>160</v>
      </c>
      <c r="K80" s="75">
        <f t="shared" si="37"/>
        <v>1440</v>
      </c>
      <c r="L80" s="79"/>
      <c r="M80" s="79" t="s">
        <v>42</v>
      </c>
      <c r="N80" s="75" t="s">
        <v>64</v>
      </c>
      <c r="O80" s="77" t="s">
        <v>171</v>
      </c>
      <c r="P80" s="80" t="s">
        <v>50</v>
      </c>
      <c r="Q80" s="81" t="s">
        <v>51</v>
      </c>
      <c r="R80" s="89"/>
      <c r="S80" s="90"/>
      <c r="T80" s="91"/>
      <c r="U80" s="90"/>
      <c r="V80" s="90"/>
      <c r="W80" s="90"/>
      <c r="X80" s="89"/>
      <c r="Y80" s="90"/>
      <c r="Z80" s="91"/>
      <c r="AA80" s="90"/>
      <c r="AB80" s="90"/>
      <c r="AC80" s="90"/>
      <c r="AD80" s="92"/>
      <c r="AE80" s="93"/>
      <c r="AF80" s="94"/>
      <c r="AG80" s="93"/>
      <c r="AH80" s="93"/>
      <c r="AI80" s="93"/>
      <c r="AJ80" s="92">
        <f t="shared" si="41"/>
        <v>0</v>
      </c>
      <c r="AK80" s="93">
        <f t="shared" si="41"/>
        <v>0</v>
      </c>
      <c r="AL80" s="94">
        <f t="shared" si="41"/>
        <v>0</v>
      </c>
      <c r="AM80" s="92"/>
      <c r="AN80" s="93"/>
      <c r="AO80" s="94"/>
      <c r="AP80" s="83">
        <v>4628</v>
      </c>
      <c r="AQ80" s="83">
        <v>4818</v>
      </c>
      <c r="AR80" s="83"/>
      <c r="AS80" s="82"/>
      <c r="AT80" s="83"/>
      <c r="AU80" s="84"/>
      <c r="AV80" s="85">
        <f t="shared" si="40"/>
        <v>4628</v>
      </c>
      <c r="AW80" s="85">
        <f t="shared" si="40"/>
        <v>4818</v>
      </c>
      <c r="AX80" s="85">
        <f t="shared" si="40"/>
        <v>0</v>
      </c>
      <c r="AY80" s="82"/>
      <c r="AZ80" s="83"/>
      <c r="BA80" s="84"/>
      <c r="BB80" s="86">
        <f t="shared" si="43"/>
        <v>23330</v>
      </c>
      <c r="BC80" s="86">
        <f t="shared" si="44"/>
        <v>4666</v>
      </c>
      <c r="BD80" s="87">
        <f t="shared" si="38"/>
        <v>0</v>
      </c>
      <c r="BF80" s="347" t="s">
        <v>562</v>
      </c>
    </row>
    <row r="81" spans="1:61" s="101" customFormat="1">
      <c r="A81" s="57" t="s">
        <v>497</v>
      </c>
      <c r="B81" s="34" t="s">
        <v>35</v>
      </c>
      <c r="C81" s="34" t="s">
        <v>165</v>
      </c>
      <c r="D81" s="35" t="s">
        <v>166</v>
      </c>
      <c r="E81" s="58" t="s">
        <v>214</v>
      </c>
      <c r="F81" s="37">
        <v>30886</v>
      </c>
      <c r="G81" s="34" t="s">
        <v>82</v>
      </c>
      <c r="H81" s="34" t="s">
        <v>40</v>
      </c>
      <c r="I81" s="34">
        <v>10</v>
      </c>
      <c r="J81" s="34">
        <v>300</v>
      </c>
      <c r="K81" s="34">
        <f t="shared" si="37"/>
        <v>3000</v>
      </c>
      <c r="L81" s="38"/>
      <c r="M81" s="38" t="s">
        <v>42</v>
      </c>
      <c r="N81" s="34" t="s">
        <v>64</v>
      </c>
      <c r="O81" s="58" t="s">
        <v>44</v>
      </c>
      <c r="P81" s="39" t="s">
        <v>50</v>
      </c>
      <c r="Q81" s="59" t="s">
        <v>84</v>
      </c>
      <c r="R81" s="68"/>
      <c r="S81" s="44"/>
      <c r="T81" s="69"/>
      <c r="U81" s="44"/>
      <c r="V81" s="44"/>
      <c r="W81" s="44"/>
      <c r="X81" s="68"/>
      <c r="Y81" s="44"/>
      <c r="Z81" s="69"/>
      <c r="AA81" s="44"/>
      <c r="AB81" s="44"/>
      <c r="AC81" s="44"/>
      <c r="AD81" s="70"/>
      <c r="AE81" s="48"/>
      <c r="AF81" s="71"/>
      <c r="AG81" s="48"/>
      <c r="AH81" s="48"/>
      <c r="AI81" s="48"/>
      <c r="AJ81" s="70">
        <f t="shared" si="41"/>
        <v>0</v>
      </c>
      <c r="AK81" s="48">
        <f t="shared" si="41"/>
        <v>0</v>
      </c>
      <c r="AL81" s="71">
        <f t="shared" si="41"/>
        <v>0</v>
      </c>
      <c r="AM81" s="70"/>
      <c r="AN81" s="48"/>
      <c r="AO81" s="71"/>
      <c r="AP81" s="49">
        <v>6444</v>
      </c>
      <c r="AQ81" s="49">
        <v>6444</v>
      </c>
      <c r="AR81" s="49">
        <v>0</v>
      </c>
      <c r="AS81" s="60">
        <v>236</v>
      </c>
      <c r="AT81" s="49">
        <v>236</v>
      </c>
      <c r="AU81" s="61">
        <v>0</v>
      </c>
      <c r="AV81" s="53">
        <f t="shared" si="40"/>
        <v>6680</v>
      </c>
      <c r="AW81" s="53">
        <f t="shared" si="40"/>
        <v>6680</v>
      </c>
      <c r="AX81" s="53">
        <f t="shared" si="40"/>
        <v>0</v>
      </c>
      <c r="AY81" s="60">
        <v>214</v>
      </c>
      <c r="AZ81" s="49">
        <v>214</v>
      </c>
      <c r="BA81" s="61"/>
      <c r="BB81" s="54">
        <f t="shared" si="43"/>
        <v>40080</v>
      </c>
      <c r="BC81" s="54">
        <f t="shared" si="44"/>
        <v>6680</v>
      </c>
      <c r="BD81" s="62">
        <f t="shared" si="38"/>
        <v>1284</v>
      </c>
      <c r="BE81" s="56"/>
      <c r="BF81" s="330" t="s">
        <v>562</v>
      </c>
      <c r="BG81" s="56"/>
      <c r="BH81" s="403" t="s">
        <v>583</v>
      </c>
      <c r="BI81" s="56"/>
    </row>
    <row r="82" spans="1:61" s="56" customFormat="1">
      <c r="A82" s="57" t="s">
        <v>215</v>
      </c>
      <c r="B82" s="34" t="s">
        <v>35</v>
      </c>
      <c r="C82" s="34" t="s">
        <v>165</v>
      </c>
      <c r="D82" s="35" t="s">
        <v>166</v>
      </c>
      <c r="E82" s="58" t="s">
        <v>216</v>
      </c>
      <c r="F82" s="37">
        <v>164000</v>
      </c>
      <c r="G82" s="34" t="s">
        <v>68</v>
      </c>
      <c r="H82" s="34" t="s">
        <v>40</v>
      </c>
      <c r="I82" s="34">
        <v>10</v>
      </c>
      <c r="J82" s="34">
        <v>301</v>
      </c>
      <c r="K82" s="34">
        <f t="shared" si="37"/>
        <v>3010</v>
      </c>
      <c r="L82" s="38"/>
      <c r="M82" s="38" t="s">
        <v>42</v>
      </c>
      <c r="N82" s="34" t="s">
        <v>64</v>
      </c>
      <c r="O82" s="58" t="s">
        <v>44</v>
      </c>
      <c r="P82" s="39" t="s">
        <v>50</v>
      </c>
      <c r="Q82" s="59" t="s">
        <v>51</v>
      </c>
      <c r="R82" s="68"/>
      <c r="S82" s="44"/>
      <c r="T82" s="69"/>
      <c r="U82" s="44"/>
      <c r="V82" s="44"/>
      <c r="W82" s="44"/>
      <c r="X82" s="68"/>
      <c r="Y82" s="44"/>
      <c r="Z82" s="69"/>
      <c r="AA82" s="44"/>
      <c r="AB82" s="44"/>
      <c r="AC82" s="44"/>
      <c r="AD82" s="70"/>
      <c r="AE82" s="48"/>
      <c r="AF82" s="71"/>
      <c r="AG82" s="48"/>
      <c r="AH82" s="48"/>
      <c r="AI82" s="48"/>
      <c r="AJ82" s="70">
        <f t="shared" si="41"/>
        <v>0</v>
      </c>
      <c r="AK82" s="48">
        <f t="shared" si="41"/>
        <v>0</v>
      </c>
      <c r="AL82" s="71">
        <f t="shared" si="41"/>
        <v>0</v>
      </c>
      <c r="AM82" s="70"/>
      <c r="AN82" s="48"/>
      <c r="AO82" s="71"/>
      <c r="AP82" s="49">
        <v>10534</v>
      </c>
      <c r="AQ82" s="49">
        <v>11410</v>
      </c>
      <c r="AR82" s="49"/>
      <c r="AS82" s="60">
        <v>595</v>
      </c>
      <c r="AT82" s="49">
        <v>498</v>
      </c>
      <c r="AU82" s="61"/>
      <c r="AV82" s="53">
        <f t="shared" si="40"/>
        <v>11129</v>
      </c>
      <c r="AW82" s="53">
        <f t="shared" si="40"/>
        <v>11908</v>
      </c>
      <c r="AX82" s="53">
        <f t="shared" si="40"/>
        <v>0</v>
      </c>
      <c r="AY82" s="60">
        <f>296+125</f>
        <v>421</v>
      </c>
      <c r="AZ82" s="49">
        <f>297+125</f>
        <v>422</v>
      </c>
      <c r="BA82" s="61"/>
      <c r="BB82" s="54">
        <f t="shared" si="43"/>
        <v>67553</v>
      </c>
      <c r="BC82" s="54">
        <f t="shared" si="44"/>
        <v>11258.833333333334</v>
      </c>
      <c r="BD82" s="62">
        <f t="shared" si="38"/>
        <v>2527</v>
      </c>
      <c r="BF82" s="330"/>
      <c r="BI82" s="101"/>
    </row>
    <row r="83" spans="1:61" s="101" customFormat="1">
      <c r="A83" s="57" t="s">
        <v>217</v>
      </c>
      <c r="B83" s="34" t="s">
        <v>35</v>
      </c>
      <c r="C83" s="34" t="s">
        <v>165</v>
      </c>
      <c r="D83" s="35" t="s">
        <v>166</v>
      </c>
      <c r="E83" s="58" t="s">
        <v>218</v>
      </c>
      <c r="F83" s="37">
        <v>127100</v>
      </c>
      <c r="G83" s="34" t="s">
        <v>68</v>
      </c>
      <c r="H83" s="34" t="s">
        <v>40</v>
      </c>
      <c r="I83" s="34">
        <v>10</v>
      </c>
      <c r="J83" s="34">
        <v>301</v>
      </c>
      <c r="K83" s="34">
        <f t="shared" si="37"/>
        <v>3010</v>
      </c>
      <c r="L83" s="38"/>
      <c r="M83" s="38" t="s">
        <v>42</v>
      </c>
      <c r="N83" s="34" t="s">
        <v>43</v>
      </c>
      <c r="O83" s="58" t="s">
        <v>49</v>
      </c>
      <c r="P83" s="39" t="s">
        <v>91</v>
      </c>
      <c r="Q83" s="59" t="s">
        <v>46</v>
      </c>
      <c r="R83" s="68">
        <f>22886-2138</f>
        <v>20748</v>
      </c>
      <c r="S83" s="44">
        <f>22191-1465</f>
        <v>20726</v>
      </c>
      <c r="T83" s="69">
        <f>19535-1291</f>
        <v>18244</v>
      </c>
      <c r="U83" s="44">
        <f>2138+396</f>
        <v>2534</v>
      </c>
      <c r="V83" s="44">
        <f>1465+403</f>
        <v>1868</v>
      </c>
      <c r="W83" s="44">
        <f>1291+393</f>
        <v>1684</v>
      </c>
      <c r="X83" s="68">
        <f>R83+U83</f>
        <v>23282</v>
      </c>
      <c r="Y83" s="44">
        <f>S83+V83</f>
        <v>22594</v>
      </c>
      <c r="Z83" s="69">
        <f>T83+W83</f>
        <v>19928</v>
      </c>
      <c r="AA83" s="44"/>
      <c r="AB83" s="44"/>
      <c r="AC83" s="44"/>
      <c r="AD83" s="70">
        <v>18339</v>
      </c>
      <c r="AE83" s="48">
        <v>20013</v>
      </c>
      <c r="AF83" s="71">
        <v>17989</v>
      </c>
      <c r="AG83" s="48">
        <v>3752</v>
      </c>
      <c r="AH83" s="48">
        <v>1512</v>
      </c>
      <c r="AI83" s="48">
        <v>1334</v>
      </c>
      <c r="AJ83" s="70">
        <f t="shared" si="41"/>
        <v>22091</v>
      </c>
      <c r="AK83" s="48">
        <f t="shared" si="41"/>
        <v>21525</v>
      </c>
      <c r="AL83" s="71">
        <f t="shared" si="41"/>
        <v>19323</v>
      </c>
      <c r="AM83" s="70">
        <v>26</v>
      </c>
      <c r="AN83" s="48">
        <v>27</v>
      </c>
      <c r="AO83" s="71">
        <v>28</v>
      </c>
      <c r="AP83" s="49">
        <f t="shared" ref="AP83:BA83" si="45">AVERAGE(R83,AD83)</f>
        <v>19543.5</v>
      </c>
      <c r="AQ83" s="49">
        <f t="shared" si="45"/>
        <v>20369.5</v>
      </c>
      <c r="AR83" s="49">
        <f t="shared" si="45"/>
        <v>18116.5</v>
      </c>
      <c r="AS83" s="60">
        <f t="shared" si="45"/>
        <v>3143</v>
      </c>
      <c r="AT83" s="49">
        <f t="shared" si="45"/>
        <v>1690</v>
      </c>
      <c r="AU83" s="61">
        <f t="shared" si="45"/>
        <v>1509</v>
      </c>
      <c r="AV83" s="53">
        <f t="shared" si="45"/>
        <v>22686.5</v>
      </c>
      <c r="AW83" s="53">
        <f t="shared" si="45"/>
        <v>22059.5</v>
      </c>
      <c r="AX83" s="53">
        <f t="shared" si="45"/>
        <v>19625.5</v>
      </c>
      <c r="AY83" s="60">
        <f t="shared" si="45"/>
        <v>26</v>
      </c>
      <c r="AZ83" s="49">
        <f t="shared" si="45"/>
        <v>27</v>
      </c>
      <c r="BA83" s="61">
        <f t="shared" si="45"/>
        <v>28</v>
      </c>
      <c r="BB83" s="54">
        <f t="shared" si="43"/>
        <v>155117.5</v>
      </c>
      <c r="BC83" s="54">
        <f t="shared" si="44"/>
        <v>22159.642857142859</v>
      </c>
      <c r="BD83" s="62">
        <f t="shared" si="38"/>
        <v>185</v>
      </c>
      <c r="BE83" s="56"/>
      <c r="BF83" s="330"/>
      <c r="BG83" s="56"/>
      <c r="BH83" s="56"/>
      <c r="BI83" s="56"/>
    </row>
    <row r="84" spans="1:61" s="73" customFormat="1">
      <c r="A84" s="88" t="s">
        <v>498</v>
      </c>
      <c r="B84" s="75" t="s">
        <v>35</v>
      </c>
      <c r="C84" s="75" t="s">
        <v>165</v>
      </c>
      <c r="D84" s="76" t="s">
        <v>166</v>
      </c>
      <c r="E84" s="77" t="s">
        <v>219</v>
      </c>
      <c r="F84" s="78">
        <v>43165</v>
      </c>
      <c r="G84" s="75" t="s">
        <v>82</v>
      </c>
      <c r="H84" s="75" t="s">
        <v>40</v>
      </c>
      <c r="I84" s="75">
        <v>10</v>
      </c>
      <c r="J84" s="75">
        <v>301</v>
      </c>
      <c r="K84" s="75">
        <f t="shared" si="37"/>
        <v>3010</v>
      </c>
      <c r="L84" s="79"/>
      <c r="M84" s="79" t="s">
        <v>42</v>
      </c>
      <c r="N84" s="75" t="s">
        <v>43</v>
      </c>
      <c r="O84" s="77" t="s">
        <v>44</v>
      </c>
      <c r="P84" s="80" t="s">
        <v>50</v>
      </c>
      <c r="Q84" s="81" t="s">
        <v>51</v>
      </c>
      <c r="R84" s="82"/>
      <c r="S84" s="83"/>
      <c r="T84" s="84"/>
      <c r="U84" s="83"/>
      <c r="V84" s="83"/>
      <c r="W84" s="83"/>
      <c r="X84" s="82"/>
      <c r="Y84" s="83"/>
      <c r="Z84" s="84"/>
      <c r="AA84" s="83"/>
      <c r="AB84" s="83"/>
      <c r="AC84" s="83"/>
      <c r="AD84" s="82"/>
      <c r="AE84" s="83"/>
      <c r="AF84" s="84"/>
      <c r="AG84" s="83"/>
      <c r="AH84" s="83"/>
      <c r="AI84" s="83"/>
      <c r="AJ84" s="82">
        <f t="shared" si="41"/>
        <v>0</v>
      </c>
      <c r="AK84" s="83">
        <f t="shared" si="41"/>
        <v>0</v>
      </c>
      <c r="AL84" s="84">
        <f t="shared" si="41"/>
        <v>0</v>
      </c>
      <c r="AM84" s="82"/>
      <c r="AN84" s="83"/>
      <c r="AO84" s="84"/>
      <c r="AP84" s="83">
        <v>7118</v>
      </c>
      <c r="AQ84" s="83">
        <v>7136</v>
      </c>
      <c r="AR84" s="83"/>
      <c r="AS84" s="82"/>
      <c r="AT84" s="83"/>
      <c r="AU84" s="84"/>
      <c r="AV84" s="85">
        <f t="shared" ref="AV84:AX91" si="46">AP84+AS84</f>
        <v>7118</v>
      </c>
      <c r="AW84" s="85">
        <f t="shared" si="46"/>
        <v>7136</v>
      </c>
      <c r="AX84" s="85">
        <f t="shared" si="46"/>
        <v>0</v>
      </c>
      <c r="AY84" s="82"/>
      <c r="AZ84" s="83"/>
      <c r="BA84" s="84"/>
      <c r="BB84" s="86">
        <f t="shared" si="43"/>
        <v>42726</v>
      </c>
      <c r="BC84" s="86">
        <f t="shared" si="44"/>
        <v>7121</v>
      </c>
      <c r="BD84" s="87">
        <f t="shared" si="38"/>
        <v>0</v>
      </c>
      <c r="BF84" s="347" t="s">
        <v>564</v>
      </c>
      <c r="BH84" s="402" t="s">
        <v>583</v>
      </c>
    </row>
    <row r="85" spans="1:61" s="73" customFormat="1">
      <c r="A85" s="57" t="s">
        <v>499</v>
      </c>
      <c r="B85" s="34" t="s">
        <v>35</v>
      </c>
      <c r="C85" s="34" t="s">
        <v>165</v>
      </c>
      <c r="D85" s="35" t="s">
        <v>166</v>
      </c>
      <c r="E85" s="58" t="s">
        <v>221</v>
      </c>
      <c r="F85" s="37">
        <v>5941500</v>
      </c>
      <c r="G85" s="34" t="s">
        <v>39</v>
      </c>
      <c r="H85" s="34" t="s">
        <v>47</v>
      </c>
      <c r="I85" s="34">
        <v>10</v>
      </c>
      <c r="J85" s="34">
        <v>160</v>
      </c>
      <c r="K85" s="34">
        <f t="shared" si="37"/>
        <v>1600</v>
      </c>
      <c r="L85" s="38" t="s">
        <v>48</v>
      </c>
      <c r="M85" s="38" t="s">
        <v>42</v>
      </c>
      <c r="N85" s="34" t="s">
        <v>43</v>
      </c>
      <c r="O85" s="58" t="s">
        <v>49</v>
      </c>
      <c r="P85" s="39" t="s">
        <v>50</v>
      </c>
      <c r="Q85" s="59" t="s">
        <v>51</v>
      </c>
      <c r="R85" s="68"/>
      <c r="S85" s="44"/>
      <c r="T85" s="69"/>
      <c r="U85" s="44"/>
      <c r="V85" s="44"/>
      <c r="W85" s="44"/>
      <c r="X85" s="68"/>
      <c r="Y85" s="44"/>
      <c r="Z85" s="69"/>
      <c r="AA85" s="44"/>
      <c r="AB85" s="44"/>
      <c r="AC85" s="44"/>
      <c r="AD85" s="70"/>
      <c r="AE85" s="48"/>
      <c r="AF85" s="71"/>
      <c r="AG85" s="48"/>
      <c r="AH85" s="48"/>
      <c r="AI85" s="48"/>
      <c r="AJ85" s="70">
        <f t="shared" si="41"/>
        <v>0</v>
      </c>
      <c r="AK85" s="48">
        <f t="shared" si="41"/>
        <v>0</v>
      </c>
      <c r="AL85" s="71">
        <f t="shared" si="41"/>
        <v>0</v>
      </c>
      <c r="AM85" s="70"/>
      <c r="AN85" s="48"/>
      <c r="AO85" s="71"/>
      <c r="AP85" s="49">
        <v>114247</v>
      </c>
      <c r="AQ85" s="49">
        <v>103871</v>
      </c>
      <c r="AR85" s="49">
        <v>130583</v>
      </c>
      <c r="AS85" s="60">
        <v>35105</v>
      </c>
      <c r="AT85" s="49">
        <v>33165</v>
      </c>
      <c r="AU85" s="61">
        <v>62244</v>
      </c>
      <c r="AV85" s="53">
        <f t="shared" si="46"/>
        <v>149352</v>
      </c>
      <c r="AW85" s="53">
        <f t="shared" si="46"/>
        <v>137036</v>
      </c>
      <c r="AX85" s="53">
        <f t="shared" si="46"/>
        <v>192827</v>
      </c>
      <c r="AY85" s="60">
        <f>2616+5925+10914</f>
        <v>19455</v>
      </c>
      <c r="AZ85" s="49">
        <f>2657+5897+10646</f>
        <v>19200</v>
      </c>
      <c r="BA85" s="61">
        <f>2715+6007+10324</f>
        <v>19046</v>
      </c>
      <c r="BB85" s="54">
        <f t="shared" si="43"/>
        <v>1076623</v>
      </c>
      <c r="BC85" s="54">
        <f t="shared" si="44"/>
        <v>153803.28571428571</v>
      </c>
      <c r="BD85" s="62">
        <f t="shared" si="38"/>
        <v>135521</v>
      </c>
      <c r="BE85" s="56"/>
      <c r="BF85" s="330"/>
      <c r="BG85" s="56"/>
      <c r="BH85" s="56"/>
      <c r="BI85" s="56"/>
    </row>
    <row r="86" spans="1:61" s="73" customFormat="1">
      <c r="A86" s="57" t="s">
        <v>220</v>
      </c>
      <c r="B86" s="34" t="s">
        <v>35</v>
      </c>
      <c r="C86" s="34" t="s">
        <v>165</v>
      </c>
      <c r="D86" s="35" t="s">
        <v>166</v>
      </c>
      <c r="E86" s="58" t="s">
        <v>221</v>
      </c>
      <c r="F86" s="37">
        <v>5941500</v>
      </c>
      <c r="G86" s="34" t="s">
        <v>39</v>
      </c>
      <c r="H86" s="34" t="s">
        <v>40</v>
      </c>
      <c r="I86" s="34">
        <v>10</v>
      </c>
      <c r="J86" s="34">
        <v>292</v>
      </c>
      <c r="K86" s="34">
        <f t="shared" si="37"/>
        <v>2920</v>
      </c>
      <c r="L86" s="38" t="s">
        <v>153</v>
      </c>
      <c r="M86" s="38" t="s">
        <v>42</v>
      </c>
      <c r="N86" s="34" t="s">
        <v>222</v>
      </c>
      <c r="O86" s="58" t="s">
        <v>49</v>
      </c>
      <c r="P86" s="39" t="s">
        <v>179</v>
      </c>
      <c r="Q86" s="59" t="s">
        <v>51</v>
      </c>
      <c r="R86" s="68"/>
      <c r="S86" s="44"/>
      <c r="T86" s="69"/>
      <c r="U86" s="44"/>
      <c r="V86" s="44"/>
      <c r="W86" s="44"/>
      <c r="X86" s="68"/>
      <c r="Y86" s="44"/>
      <c r="Z86" s="69"/>
      <c r="AA86" s="44"/>
      <c r="AB86" s="44"/>
      <c r="AC86" s="44"/>
      <c r="AD86" s="70"/>
      <c r="AE86" s="48"/>
      <c r="AF86" s="71"/>
      <c r="AG86" s="48"/>
      <c r="AH86" s="48"/>
      <c r="AI86" s="48"/>
      <c r="AJ86" s="70">
        <f t="shared" si="41"/>
        <v>0</v>
      </c>
      <c r="AK86" s="48">
        <f t="shared" si="41"/>
        <v>0</v>
      </c>
      <c r="AL86" s="71">
        <f t="shared" si="41"/>
        <v>0</v>
      </c>
      <c r="AM86" s="70"/>
      <c r="AN86" s="48"/>
      <c r="AO86" s="71"/>
      <c r="AP86" s="49">
        <v>220231</v>
      </c>
      <c r="AQ86" s="49">
        <v>342306</v>
      </c>
      <c r="AR86" s="49">
        <v>242104</v>
      </c>
      <c r="AS86" s="60">
        <v>129991</v>
      </c>
      <c r="AT86" s="49">
        <v>121207</v>
      </c>
      <c r="AU86" s="61">
        <v>66881</v>
      </c>
      <c r="AV86" s="53">
        <f t="shared" si="46"/>
        <v>350222</v>
      </c>
      <c r="AW86" s="53">
        <f t="shared" si="46"/>
        <v>463513</v>
      </c>
      <c r="AX86" s="53">
        <f t="shared" si="46"/>
        <v>308985</v>
      </c>
      <c r="AY86" s="60">
        <f>7516+21020+12878</f>
        <v>41414</v>
      </c>
      <c r="AZ86" s="49">
        <f>7690+20783+12267</f>
        <v>40740</v>
      </c>
      <c r="BA86" s="61">
        <f>7588+20932+12284</f>
        <v>40804</v>
      </c>
      <c r="BB86" s="54">
        <f t="shared" si="43"/>
        <v>2523608</v>
      </c>
      <c r="BC86" s="54">
        <f t="shared" si="44"/>
        <v>360515.42857142858</v>
      </c>
      <c r="BD86" s="62">
        <f t="shared" si="38"/>
        <v>288614</v>
      </c>
      <c r="BE86" s="56"/>
      <c r="BF86" s="354" t="s">
        <v>85</v>
      </c>
      <c r="BG86" s="65"/>
      <c r="BH86" s="100" t="s">
        <v>85</v>
      </c>
      <c r="BI86" s="56"/>
    </row>
    <row r="87" spans="1:61" s="73" customFormat="1">
      <c r="A87" s="88" t="s">
        <v>500</v>
      </c>
      <c r="B87" s="75" t="s">
        <v>35</v>
      </c>
      <c r="C87" s="75" t="s">
        <v>165</v>
      </c>
      <c r="D87" s="76" t="s">
        <v>166</v>
      </c>
      <c r="E87" s="77" t="s">
        <v>221</v>
      </c>
      <c r="F87" s="78">
        <v>5941500</v>
      </c>
      <c r="G87" s="75" t="s">
        <v>39</v>
      </c>
      <c r="H87" s="75" t="s">
        <v>47</v>
      </c>
      <c r="I87" s="75">
        <v>6</v>
      </c>
      <c r="J87" s="75">
        <v>160</v>
      </c>
      <c r="K87" s="75">
        <f t="shared" si="37"/>
        <v>960</v>
      </c>
      <c r="L87" s="75"/>
      <c r="M87" s="75" t="s">
        <v>53</v>
      </c>
      <c r="N87" s="75" t="s">
        <v>43</v>
      </c>
      <c r="O87" s="77" t="s">
        <v>54</v>
      </c>
      <c r="P87" s="80" t="s">
        <v>50</v>
      </c>
      <c r="Q87" s="81" t="s">
        <v>51</v>
      </c>
      <c r="R87" s="289"/>
      <c r="S87" s="290"/>
      <c r="T87" s="291"/>
      <c r="U87" s="290"/>
      <c r="V87" s="290"/>
      <c r="W87" s="290"/>
      <c r="X87" s="289"/>
      <c r="Y87" s="290"/>
      <c r="Z87" s="291"/>
      <c r="AA87" s="290"/>
      <c r="AB87" s="290"/>
      <c r="AC87" s="290"/>
      <c r="AD87" s="292"/>
      <c r="AE87" s="293"/>
      <c r="AF87" s="294"/>
      <c r="AG87" s="293"/>
      <c r="AH87" s="293"/>
      <c r="AI87" s="293"/>
      <c r="AJ87" s="292"/>
      <c r="AK87" s="293"/>
      <c r="AL87" s="294"/>
      <c r="AM87" s="292"/>
      <c r="AN87" s="293"/>
      <c r="AO87" s="294"/>
      <c r="AP87" s="75"/>
      <c r="AQ87" s="75"/>
      <c r="AR87" s="75"/>
      <c r="AS87" s="82">
        <v>258007</v>
      </c>
      <c r="AT87" s="83"/>
      <c r="AU87" s="84"/>
      <c r="AV87" s="85">
        <f t="shared" si="46"/>
        <v>258007</v>
      </c>
      <c r="AW87" s="85">
        <f t="shared" si="46"/>
        <v>0</v>
      </c>
      <c r="AX87" s="85"/>
      <c r="AY87" s="76"/>
      <c r="AZ87" s="75"/>
      <c r="BA87" s="98"/>
      <c r="BB87" s="86">
        <f t="shared" si="43"/>
        <v>1290035</v>
      </c>
      <c r="BC87" s="86">
        <f t="shared" si="44"/>
        <v>258007</v>
      </c>
      <c r="BD87" s="87">
        <f t="shared" si="38"/>
        <v>0</v>
      </c>
      <c r="BE87" s="388"/>
      <c r="BF87" s="77"/>
      <c r="BG87" s="99">
        <v>2003</v>
      </c>
      <c r="BH87" s="398" t="s">
        <v>110</v>
      </c>
    </row>
    <row r="88" spans="1:61" s="73" customFormat="1">
      <c r="A88" s="57" t="s">
        <v>225</v>
      </c>
      <c r="B88" s="34" t="s">
        <v>112</v>
      </c>
      <c r="C88" s="34" t="s">
        <v>165</v>
      </c>
      <c r="D88" s="35" t="s">
        <v>166</v>
      </c>
      <c r="E88" s="58" t="s">
        <v>221</v>
      </c>
      <c r="F88" s="37">
        <v>5941500</v>
      </c>
      <c r="G88" s="34" t="s">
        <v>39</v>
      </c>
      <c r="H88" s="34" t="s">
        <v>40</v>
      </c>
      <c r="I88" s="34">
        <v>6</v>
      </c>
      <c r="J88" s="34"/>
      <c r="K88" s="34">
        <f t="shared" si="37"/>
        <v>0</v>
      </c>
      <c r="L88" s="34"/>
      <c r="M88" s="34" t="s">
        <v>53</v>
      </c>
      <c r="N88" s="34" t="s">
        <v>43</v>
      </c>
      <c r="O88" s="58" t="s">
        <v>54</v>
      </c>
      <c r="P88" s="39" t="s">
        <v>113</v>
      </c>
      <c r="Q88" s="59" t="s">
        <v>51</v>
      </c>
      <c r="R88" s="283"/>
      <c r="S88" s="284"/>
      <c r="T88" s="285"/>
      <c r="U88" s="284"/>
      <c r="V88" s="284"/>
      <c r="W88" s="284"/>
      <c r="X88" s="283"/>
      <c r="Y88" s="284"/>
      <c r="Z88" s="285"/>
      <c r="AA88" s="284"/>
      <c r="AB88" s="284"/>
      <c r="AC88" s="284"/>
      <c r="AD88" s="286"/>
      <c r="AE88" s="287"/>
      <c r="AF88" s="288"/>
      <c r="AG88" s="287"/>
      <c r="AH88" s="287"/>
      <c r="AI88" s="287"/>
      <c r="AJ88" s="286"/>
      <c r="AK88" s="287"/>
      <c r="AL88" s="288"/>
      <c r="AM88" s="286"/>
      <c r="AN88" s="287"/>
      <c r="AO88" s="288"/>
      <c r="AP88" s="34"/>
      <c r="AQ88" s="34"/>
      <c r="AR88" s="34"/>
      <c r="AS88" s="60">
        <v>9847</v>
      </c>
      <c r="AT88" s="49"/>
      <c r="AU88" s="61"/>
      <c r="AV88" s="53">
        <f t="shared" si="46"/>
        <v>9847</v>
      </c>
      <c r="AW88" s="53">
        <f t="shared" si="46"/>
        <v>0</v>
      </c>
      <c r="AX88" s="53"/>
      <c r="AY88" s="35"/>
      <c r="AZ88" s="34"/>
      <c r="BA88" s="64"/>
      <c r="BB88" s="54">
        <f t="shared" si="43"/>
        <v>49235</v>
      </c>
      <c r="BC88" s="54">
        <f t="shared" si="44"/>
        <v>9847</v>
      </c>
      <c r="BD88" s="62">
        <f t="shared" si="38"/>
        <v>0</v>
      </c>
      <c r="BE88" s="387"/>
      <c r="BF88" s="58"/>
      <c r="BG88" s="66">
        <v>2005</v>
      </c>
      <c r="BH88" s="103" t="s">
        <v>115</v>
      </c>
      <c r="BI88" s="56"/>
    </row>
    <row r="89" spans="1:61" s="56" customFormat="1">
      <c r="A89" s="57" t="s">
        <v>223</v>
      </c>
      <c r="B89" s="34" t="s">
        <v>35</v>
      </c>
      <c r="C89" s="34" t="s">
        <v>165</v>
      </c>
      <c r="D89" s="35" t="s">
        <v>166</v>
      </c>
      <c r="E89" s="58" t="s">
        <v>221</v>
      </c>
      <c r="F89" s="37">
        <v>5941500</v>
      </c>
      <c r="G89" s="34" t="s">
        <v>39</v>
      </c>
      <c r="H89" s="34" t="s">
        <v>47</v>
      </c>
      <c r="I89" s="34">
        <v>6</v>
      </c>
      <c r="J89" s="34">
        <v>175</v>
      </c>
      <c r="K89" s="34">
        <f t="shared" si="37"/>
        <v>1050</v>
      </c>
      <c r="L89" s="34"/>
      <c r="M89" s="34" t="s">
        <v>53</v>
      </c>
      <c r="N89" s="34" t="s">
        <v>43</v>
      </c>
      <c r="O89" s="58" t="s">
        <v>54</v>
      </c>
      <c r="P89" s="39" t="s">
        <v>55</v>
      </c>
      <c r="Q89" s="59" t="s">
        <v>51</v>
      </c>
      <c r="R89" s="283"/>
      <c r="S89" s="284"/>
      <c r="T89" s="285"/>
      <c r="U89" s="284"/>
      <c r="V89" s="284"/>
      <c r="W89" s="284"/>
      <c r="X89" s="283"/>
      <c r="Y89" s="284"/>
      <c r="Z89" s="285"/>
      <c r="AA89" s="284"/>
      <c r="AB89" s="284"/>
      <c r="AC89" s="284"/>
      <c r="AD89" s="286"/>
      <c r="AE89" s="287"/>
      <c r="AF89" s="288"/>
      <c r="AG89" s="287"/>
      <c r="AH89" s="287"/>
      <c r="AI89" s="287"/>
      <c r="AJ89" s="286"/>
      <c r="AK89" s="287"/>
      <c r="AL89" s="288"/>
      <c r="AM89" s="286"/>
      <c r="AN89" s="287"/>
      <c r="AO89" s="288"/>
      <c r="AP89" s="34"/>
      <c r="AQ89" s="34"/>
      <c r="AR89" s="34"/>
      <c r="AS89" s="60">
        <v>233051</v>
      </c>
      <c r="AT89" s="49"/>
      <c r="AU89" s="61"/>
      <c r="AV89" s="53">
        <f t="shared" si="46"/>
        <v>233051</v>
      </c>
      <c r="AW89" s="53">
        <f t="shared" si="46"/>
        <v>0</v>
      </c>
      <c r="AX89" s="53"/>
      <c r="AY89" s="35"/>
      <c r="AZ89" s="34"/>
      <c r="BA89" s="64"/>
      <c r="BB89" s="54">
        <f t="shared" si="43"/>
        <v>1165255</v>
      </c>
      <c r="BC89" s="54">
        <f t="shared" si="44"/>
        <v>233051</v>
      </c>
      <c r="BD89" s="62">
        <f t="shared" si="38"/>
        <v>0</v>
      </c>
      <c r="BE89" s="387"/>
      <c r="BF89" s="58"/>
      <c r="BG89" s="66">
        <v>2000</v>
      </c>
      <c r="BH89" s="72" t="s">
        <v>224</v>
      </c>
    </row>
    <row r="90" spans="1:61" s="74" customFormat="1">
      <c r="A90" s="57" t="s">
        <v>226</v>
      </c>
      <c r="B90" s="34" t="s">
        <v>35</v>
      </c>
      <c r="C90" s="34" t="s">
        <v>165</v>
      </c>
      <c r="D90" s="35" t="s">
        <v>166</v>
      </c>
      <c r="E90" s="58" t="s">
        <v>227</v>
      </c>
      <c r="F90" s="37">
        <v>98780</v>
      </c>
      <c r="G90" s="34" t="s">
        <v>63</v>
      </c>
      <c r="H90" s="34" t="s">
        <v>40</v>
      </c>
      <c r="I90" s="34">
        <v>10</v>
      </c>
      <c r="J90" s="34">
        <v>307</v>
      </c>
      <c r="K90" s="34">
        <f t="shared" si="37"/>
        <v>3070</v>
      </c>
      <c r="L90" s="38"/>
      <c r="M90" s="38" t="s">
        <v>42</v>
      </c>
      <c r="N90" s="34" t="s">
        <v>64</v>
      </c>
      <c r="O90" s="58" t="s">
        <v>44</v>
      </c>
      <c r="P90" s="39" t="s">
        <v>179</v>
      </c>
      <c r="Q90" s="59" t="s">
        <v>51</v>
      </c>
      <c r="R90" s="68"/>
      <c r="S90" s="44"/>
      <c r="T90" s="69"/>
      <c r="U90" s="44"/>
      <c r="V90" s="44"/>
      <c r="W90" s="44"/>
      <c r="X90" s="68"/>
      <c r="Y90" s="44"/>
      <c r="Z90" s="69"/>
      <c r="AA90" s="44"/>
      <c r="AB90" s="44"/>
      <c r="AC90" s="44"/>
      <c r="AD90" s="70"/>
      <c r="AE90" s="48"/>
      <c r="AF90" s="71"/>
      <c r="AG90" s="48"/>
      <c r="AH90" s="48"/>
      <c r="AI90" s="48"/>
      <c r="AJ90" s="70">
        <f t="shared" ref="AJ90:AL101" si="47">AD90+AG90</f>
        <v>0</v>
      </c>
      <c r="AK90" s="48">
        <f t="shared" si="47"/>
        <v>0</v>
      </c>
      <c r="AL90" s="71">
        <f t="shared" si="47"/>
        <v>0</v>
      </c>
      <c r="AM90" s="70"/>
      <c r="AN90" s="48"/>
      <c r="AO90" s="71"/>
      <c r="AP90" s="49">
        <v>49167</v>
      </c>
      <c r="AQ90" s="49">
        <v>51719</v>
      </c>
      <c r="AR90" s="49"/>
      <c r="AS90" s="60">
        <v>11527</v>
      </c>
      <c r="AT90" s="49">
        <v>7636</v>
      </c>
      <c r="AU90" s="61"/>
      <c r="AV90" s="53">
        <f t="shared" si="46"/>
        <v>60694</v>
      </c>
      <c r="AW90" s="53">
        <f t="shared" si="46"/>
        <v>59355</v>
      </c>
      <c r="AX90" s="53">
        <f>AR90+AU90</f>
        <v>0</v>
      </c>
      <c r="AY90" s="60">
        <f>2447+6547</f>
        <v>8994</v>
      </c>
      <c r="AZ90" s="49">
        <f>319+6000</f>
        <v>6319</v>
      </c>
      <c r="BA90" s="61"/>
      <c r="BB90" s="54">
        <f t="shared" si="43"/>
        <v>362825</v>
      </c>
      <c r="BC90" s="54">
        <f t="shared" si="44"/>
        <v>60470.833333333336</v>
      </c>
      <c r="BD90" s="62">
        <f t="shared" si="38"/>
        <v>51289</v>
      </c>
      <c r="BE90" s="56"/>
      <c r="BF90" s="330"/>
      <c r="BG90" s="56"/>
      <c r="BH90" s="56"/>
      <c r="BI90" s="101"/>
    </row>
    <row r="91" spans="1:61" s="74" customFormat="1">
      <c r="A91" s="57" t="s">
        <v>501</v>
      </c>
      <c r="B91" s="34" t="s">
        <v>35</v>
      </c>
      <c r="C91" s="34" t="s">
        <v>165</v>
      </c>
      <c r="D91" s="35" t="s">
        <v>166</v>
      </c>
      <c r="E91" s="58" t="s">
        <v>228</v>
      </c>
      <c r="F91" s="37">
        <v>50631</v>
      </c>
      <c r="G91" s="34" t="s">
        <v>63</v>
      </c>
      <c r="H91" s="34" t="s">
        <v>40</v>
      </c>
      <c r="I91" s="34">
        <v>10</v>
      </c>
      <c r="J91" s="34">
        <v>301</v>
      </c>
      <c r="K91" s="34">
        <f t="shared" si="37"/>
        <v>3010</v>
      </c>
      <c r="L91" s="38"/>
      <c r="M91" s="38" t="s">
        <v>42</v>
      </c>
      <c r="N91" s="34" t="s">
        <v>43</v>
      </c>
      <c r="O91" s="58" t="s">
        <v>44</v>
      </c>
      <c r="P91" s="39" t="s">
        <v>50</v>
      </c>
      <c r="Q91" s="59" t="s">
        <v>51</v>
      </c>
      <c r="R91" s="68"/>
      <c r="S91" s="44"/>
      <c r="T91" s="69"/>
      <c r="U91" s="44"/>
      <c r="V91" s="44"/>
      <c r="W91" s="44"/>
      <c r="X91" s="68"/>
      <c r="Y91" s="44"/>
      <c r="Z91" s="69"/>
      <c r="AA91" s="44"/>
      <c r="AB91" s="44"/>
      <c r="AC91" s="44"/>
      <c r="AD91" s="70"/>
      <c r="AE91" s="48"/>
      <c r="AF91" s="71"/>
      <c r="AG91" s="48"/>
      <c r="AH91" s="48"/>
      <c r="AI91" s="48"/>
      <c r="AJ91" s="70">
        <f t="shared" si="47"/>
        <v>0</v>
      </c>
      <c r="AK91" s="48">
        <f t="shared" si="47"/>
        <v>0</v>
      </c>
      <c r="AL91" s="71">
        <f t="shared" si="47"/>
        <v>0</v>
      </c>
      <c r="AM91" s="70"/>
      <c r="AN91" s="48"/>
      <c r="AO91" s="71"/>
      <c r="AP91" s="49">
        <v>8347</v>
      </c>
      <c r="AQ91" s="49">
        <v>8381</v>
      </c>
      <c r="AR91" s="49"/>
      <c r="AS91" s="60">
        <v>7308</v>
      </c>
      <c r="AT91" s="49">
        <v>3730</v>
      </c>
      <c r="AU91" s="61"/>
      <c r="AV91" s="53">
        <f t="shared" si="46"/>
        <v>15655</v>
      </c>
      <c r="AW91" s="53">
        <f t="shared" si="46"/>
        <v>12111</v>
      </c>
      <c r="AX91" s="53">
        <f>AR91+AU91</f>
        <v>0</v>
      </c>
      <c r="AY91" s="60">
        <f>202+286+3991</f>
        <v>4479</v>
      </c>
      <c r="AZ91" s="49">
        <f>210+297+3390</f>
        <v>3897</v>
      </c>
      <c r="BA91" s="61"/>
      <c r="BB91" s="54">
        <f t="shared" si="43"/>
        <v>90386</v>
      </c>
      <c r="BC91" s="54">
        <f t="shared" si="44"/>
        <v>15064.333333333334</v>
      </c>
      <c r="BD91" s="62">
        <f t="shared" si="38"/>
        <v>26292</v>
      </c>
      <c r="BE91" s="56"/>
      <c r="BF91" s="330"/>
      <c r="BG91" s="56"/>
      <c r="BH91" s="56"/>
      <c r="BI91" s="56"/>
    </row>
    <row r="92" spans="1:61" s="73" customFormat="1">
      <c r="A92" s="57" t="s">
        <v>229</v>
      </c>
      <c r="B92" s="34" t="s">
        <v>35</v>
      </c>
      <c r="C92" s="34" t="s">
        <v>165</v>
      </c>
      <c r="D92" s="35" t="s">
        <v>166</v>
      </c>
      <c r="E92" s="58" t="s">
        <v>230</v>
      </c>
      <c r="F92" s="37">
        <v>333400</v>
      </c>
      <c r="G92" s="34" t="s">
        <v>68</v>
      </c>
      <c r="H92" s="34" t="s">
        <v>40</v>
      </c>
      <c r="I92" s="34">
        <v>10</v>
      </c>
      <c r="J92" s="34">
        <v>297</v>
      </c>
      <c r="K92" s="34">
        <f t="shared" si="37"/>
        <v>2970</v>
      </c>
      <c r="L92" s="38" t="s">
        <v>41</v>
      </c>
      <c r="M92" s="38" t="s">
        <v>42</v>
      </c>
      <c r="N92" s="34" t="s">
        <v>43</v>
      </c>
      <c r="O92" s="58" t="s">
        <v>44</v>
      </c>
      <c r="P92" s="39" t="s">
        <v>45</v>
      </c>
      <c r="Q92" s="59" t="s">
        <v>46</v>
      </c>
      <c r="R92" s="68">
        <f>48015-694</f>
        <v>47321</v>
      </c>
      <c r="S92" s="44">
        <f>49478-719</f>
        <v>48759</v>
      </c>
      <c r="T92" s="69"/>
      <c r="U92" s="44">
        <f>694+1070</f>
        <v>1764</v>
      </c>
      <c r="V92" s="44">
        <f>719+1068</f>
        <v>1787</v>
      </c>
      <c r="W92" s="44"/>
      <c r="X92" s="68">
        <f>R92+U92</f>
        <v>49085</v>
      </c>
      <c r="Y92" s="44">
        <f>S92+V92</f>
        <v>50546</v>
      </c>
      <c r="Z92" s="69"/>
      <c r="AA92" s="44"/>
      <c r="AB92" s="44"/>
      <c r="AC92" s="44"/>
      <c r="AD92" s="70">
        <v>40778</v>
      </c>
      <c r="AE92" s="48">
        <v>45453</v>
      </c>
      <c r="AF92" s="71"/>
      <c r="AG92" s="48">
        <v>14689</v>
      </c>
      <c r="AH92" s="48">
        <v>10829</v>
      </c>
      <c r="AI92" s="48"/>
      <c r="AJ92" s="70">
        <f t="shared" si="47"/>
        <v>55467</v>
      </c>
      <c r="AK92" s="48">
        <f t="shared" si="47"/>
        <v>56282</v>
      </c>
      <c r="AL92" s="71">
        <f t="shared" si="47"/>
        <v>0</v>
      </c>
      <c r="AM92" s="70">
        <v>12649</v>
      </c>
      <c r="AN92" s="48">
        <v>9002</v>
      </c>
      <c r="AO92" s="71"/>
      <c r="AP92" s="49">
        <f>AVERAGE(R92,AD92)</f>
        <v>44049.5</v>
      </c>
      <c r="AQ92" s="49">
        <f>AVERAGE(S92,AE92)</f>
        <v>47106</v>
      </c>
      <c r="AR92" s="49"/>
      <c r="AS92" s="60">
        <f>AVERAGE(U92,AG92)</f>
        <v>8226.5</v>
      </c>
      <c r="AT92" s="49">
        <f>AVERAGE(V92,AH92)</f>
        <v>6308</v>
      </c>
      <c r="AU92" s="61"/>
      <c r="AV92" s="53">
        <f>AVERAGE(X92,AJ92)</f>
        <v>52276</v>
      </c>
      <c r="AW92" s="53">
        <f>AVERAGE(Y92,AK92)</f>
        <v>53414</v>
      </c>
      <c r="AX92" s="53">
        <f>AVERAGE(Z92,AL92)</f>
        <v>0</v>
      </c>
      <c r="AY92" s="60">
        <f>AVERAGE(AA92,AM92)</f>
        <v>12649</v>
      </c>
      <c r="AZ92" s="49">
        <f>AVERAGE(AB92,AN92)</f>
        <v>9002</v>
      </c>
      <c r="BA92" s="61"/>
      <c r="BB92" s="54">
        <f t="shared" si="43"/>
        <v>314794</v>
      </c>
      <c r="BC92" s="54">
        <f t="shared" si="44"/>
        <v>52465.666666666664</v>
      </c>
      <c r="BD92" s="62">
        <f t="shared" si="38"/>
        <v>72247</v>
      </c>
      <c r="BE92" s="56"/>
      <c r="BF92" s="330"/>
      <c r="BG92" s="56"/>
      <c r="BH92" s="56"/>
      <c r="BI92" s="56"/>
    </row>
    <row r="93" spans="1:61" s="73" customFormat="1">
      <c r="A93" s="88" t="s">
        <v>502</v>
      </c>
      <c r="B93" s="75" t="s">
        <v>35</v>
      </c>
      <c r="C93" s="75" t="s">
        <v>165</v>
      </c>
      <c r="D93" s="76" t="s">
        <v>166</v>
      </c>
      <c r="E93" s="77" t="s">
        <v>231</v>
      </c>
      <c r="F93" s="78">
        <v>37754</v>
      </c>
      <c r="G93" s="75" t="s">
        <v>82</v>
      </c>
      <c r="H93" s="75" t="s">
        <v>40</v>
      </c>
      <c r="I93" s="75">
        <v>10</v>
      </c>
      <c r="J93" s="75">
        <v>301</v>
      </c>
      <c r="K93" s="75">
        <f t="shared" si="37"/>
        <v>3010</v>
      </c>
      <c r="L93" s="79"/>
      <c r="M93" s="79" t="s">
        <v>42</v>
      </c>
      <c r="N93" s="75" t="s">
        <v>64</v>
      </c>
      <c r="O93" s="77" t="s">
        <v>44</v>
      </c>
      <c r="P93" s="80" t="s">
        <v>50</v>
      </c>
      <c r="Q93" s="81" t="s">
        <v>114</v>
      </c>
      <c r="R93" s="82"/>
      <c r="S93" s="83"/>
      <c r="T93" s="84"/>
      <c r="U93" s="83"/>
      <c r="V93" s="83"/>
      <c r="W93" s="83"/>
      <c r="X93" s="82"/>
      <c r="Y93" s="83"/>
      <c r="Z93" s="84"/>
      <c r="AA93" s="83"/>
      <c r="AB93" s="83"/>
      <c r="AC93" s="83"/>
      <c r="AD93" s="82"/>
      <c r="AE93" s="83"/>
      <c r="AF93" s="84"/>
      <c r="AG93" s="83"/>
      <c r="AH93" s="83"/>
      <c r="AI93" s="83"/>
      <c r="AJ93" s="82">
        <f t="shared" si="47"/>
        <v>0</v>
      </c>
      <c r="AK93" s="83">
        <f t="shared" si="47"/>
        <v>0</v>
      </c>
      <c r="AL93" s="84">
        <f t="shared" si="47"/>
        <v>0</v>
      </c>
      <c r="AM93" s="82"/>
      <c r="AN93" s="83"/>
      <c r="AO93" s="84"/>
      <c r="AP93" s="83">
        <v>7700</v>
      </c>
      <c r="AQ93" s="83">
        <v>7700</v>
      </c>
      <c r="AR93" s="83"/>
      <c r="AS93" s="82"/>
      <c r="AT93" s="83"/>
      <c r="AU93" s="84"/>
      <c r="AV93" s="85">
        <f t="shared" ref="AV93:AX95" si="48">AP93+AS93</f>
        <v>7700</v>
      </c>
      <c r="AW93" s="85">
        <f t="shared" si="48"/>
        <v>7700</v>
      </c>
      <c r="AX93" s="85">
        <f t="shared" si="48"/>
        <v>0</v>
      </c>
      <c r="AY93" s="82"/>
      <c r="AZ93" s="83"/>
      <c r="BA93" s="84"/>
      <c r="BB93" s="86">
        <f t="shared" si="43"/>
        <v>46200</v>
      </c>
      <c r="BC93" s="86">
        <f t="shared" si="44"/>
        <v>7700</v>
      </c>
      <c r="BD93" s="87">
        <f t="shared" si="38"/>
        <v>0</v>
      </c>
      <c r="BF93" s="347" t="s">
        <v>561</v>
      </c>
      <c r="BH93" s="402" t="s">
        <v>583</v>
      </c>
    </row>
    <row r="94" spans="1:61" s="56" customFormat="1">
      <c r="A94" s="57" t="s">
        <v>232</v>
      </c>
      <c r="B94" s="34" t="s">
        <v>35</v>
      </c>
      <c r="C94" s="34" t="s">
        <v>133</v>
      </c>
      <c r="D94" s="35" t="s">
        <v>233</v>
      </c>
      <c r="E94" s="58" t="s">
        <v>234</v>
      </c>
      <c r="F94" s="37">
        <v>64487</v>
      </c>
      <c r="G94" s="34" t="s">
        <v>63</v>
      </c>
      <c r="H94" s="34" t="s">
        <v>40</v>
      </c>
      <c r="I94" s="34">
        <v>10</v>
      </c>
      <c r="J94" s="34">
        <v>301</v>
      </c>
      <c r="K94" s="34">
        <f t="shared" si="37"/>
        <v>3010</v>
      </c>
      <c r="L94" s="38" t="s">
        <v>41</v>
      </c>
      <c r="M94" s="38" t="s">
        <v>42</v>
      </c>
      <c r="N94" s="34" t="s">
        <v>43</v>
      </c>
      <c r="O94" s="58" t="s">
        <v>44</v>
      </c>
      <c r="P94" s="39" t="s">
        <v>147</v>
      </c>
      <c r="Q94" s="59" t="s">
        <v>51</v>
      </c>
      <c r="R94" s="68"/>
      <c r="S94" s="44"/>
      <c r="T94" s="69"/>
      <c r="U94" s="44"/>
      <c r="V94" s="44"/>
      <c r="W94" s="44"/>
      <c r="X94" s="68"/>
      <c r="Y94" s="44"/>
      <c r="Z94" s="69"/>
      <c r="AA94" s="44"/>
      <c r="AB94" s="44"/>
      <c r="AC94" s="44"/>
      <c r="AD94" s="70"/>
      <c r="AE94" s="48"/>
      <c r="AF94" s="71"/>
      <c r="AG94" s="48"/>
      <c r="AH94" s="48"/>
      <c r="AI94" s="48"/>
      <c r="AJ94" s="70">
        <f t="shared" si="47"/>
        <v>0</v>
      </c>
      <c r="AK94" s="48">
        <f t="shared" si="47"/>
        <v>0</v>
      </c>
      <c r="AL94" s="71">
        <f t="shared" si="47"/>
        <v>0</v>
      </c>
      <c r="AM94" s="70"/>
      <c r="AN94" s="48"/>
      <c r="AO94" s="71"/>
      <c r="AP94" s="49">
        <v>15036</v>
      </c>
      <c r="AQ94" s="49">
        <v>16270</v>
      </c>
      <c r="AR94" s="49"/>
      <c r="AS94" s="60">
        <v>1021</v>
      </c>
      <c r="AT94" s="49">
        <v>507</v>
      </c>
      <c r="AU94" s="61"/>
      <c r="AV94" s="53">
        <f t="shared" si="48"/>
        <v>16057</v>
      </c>
      <c r="AW94" s="53">
        <f t="shared" si="48"/>
        <v>16777</v>
      </c>
      <c r="AX94" s="53">
        <f t="shared" si="48"/>
        <v>0</v>
      </c>
      <c r="AY94" s="60">
        <v>83</v>
      </c>
      <c r="AZ94" s="49">
        <v>83</v>
      </c>
      <c r="BA94" s="61"/>
      <c r="BB94" s="54">
        <f t="shared" si="43"/>
        <v>97062</v>
      </c>
      <c r="BC94" s="54">
        <f t="shared" si="44"/>
        <v>16177</v>
      </c>
      <c r="BD94" s="62">
        <f t="shared" si="38"/>
        <v>498</v>
      </c>
      <c r="BF94" s="330"/>
      <c r="BI94" s="101"/>
    </row>
    <row r="95" spans="1:61" s="56" customFormat="1">
      <c r="A95" s="57" t="s">
        <v>235</v>
      </c>
      <c r="B95" s="34" t="s">
        <v>35</v>
      </c>
      <c r="C95" s="34" t="s">
        <v>133</v>
      </c>
      <c r="D95" s="34" t="s">
        <v>233</v>
      </c>
      <c r="E95" s="58" t="s">
        <v>236</v>
      </c>
      <c r="F95" s="37">
        <v>16488</v>
      </c>
      <c r="G95" s="34" t="s">
        <v>82</v>
      </c>
      <c r="H95" s="34" t="s">
        <v>40</v>
      </c>
      <c r="I95" s="34">
        <v>10</v>
      </c>
      <c r="J95" s="34">
        <v>301</v>
      </c>
      <c r="K95" s="34">
        <f t="shared" si="37"/>
        <v>3010</v>
      </c>
      <c r="L95" s="38" t="s">
        <v>237</v>
      </c>
      <c r="M95" s="38" t="s">
        <v>42</v>
      </c>
      <c r="N95" s="34" t="s">
        <v>64</v>
      </c>
      <c r="O95" s="58" t="s">
        <v>44</v>
      </c>
      <c r="P95" s="39" t="s">
        <v>147</v>
      </c>
      <c r="Q95" s="59" t="s">
        <v>51</v>
      </c>
      <c r="R95" s="68"/>
      <c r="S95" s="44"/>
      <c r="T95" s="69"/>
      <c r="U95" s="44"/>
      <c r="V95" s="44"/>
      <c r="W95" s="44"/>
      <c r="X95" s="68"/>
      <c r="Y95" s="44"/>
      <c r="Z95" s="69"/>
      <c r="AA95" s="44"/>
      <c r="AB95" s="44"/>
      <c r="AC95" s="44"/>
      <c r="AD95" s="70"/>
      <c r="AE95" s="48"/>
      <c r="AF95" s="71"/>
      <c r="AG95" s="48"/>
      <c r="AH95" s="48"/>
      <c r="AI95" s="48"/>
      <c r="AJ95" s="70">
        <f t="shared" si="47"/>
        <v>0</v>
      </c>
      <c r="AK95" s="48">
        <f t="shared" si="47"/>
        <v>0</v>
      </c>
      <c r="AL95" s="71">
        <f t="shared" si="47"/>
        <v>0</v>
      </c>
      <c r="AM95" s="70"/>
      <c r="AN95" s="48"/>
      <c r="AO95" s="71"/>
      <c r="AP95" s="49">
        <v>6333</v>
      </c>
      <c r="AQ95" s="49">
        <v>6440</v>
      </c>
      <c r="AR95" s="49"/>
      <c r="AS95" s="60">
        <v>215</v>
      </c>
      <c r="AT95" s="49">
        <v>170</v>
      </c>
      <c r="AU95" s="61"/>
      <c r="AV95" s="53">
        <f t="shared" si="48"/>
        <v>6548</v>
      </c>
      <c r="AW95" s="53">
        <f t="shared" si="48"/>
        <v>6610</v>
      </c>
      <c r="AX95" s="53">
        <f t="shared" si="48"/>
        <v>0</v>
      </c>
      <c r="AY95" s="60">
        <v>15</v>
      </c>
      <c r="AZ95" s="49">
        <v>15</v>
      </c>
      <c r="BA95" s="61"/>
      <c r="BB95" s="54">
        <f t="shared" si="43"/>
        <v>39350</v>
      </c>
      <c r="BC95" s="54">
        <f t="shared" si="44"/>
        <v>6558.333333333333</v>
      </c>
      <c r="BD95" s="62">
        <f t="shared" si="38"/>
        <v>90</v>
      </c>
    </row>
    <row r="96" spans="1:61" s="101" customFormat="1">
      <c r="A96" s="57" t="s">
        <v>238</v>
      </c>
      <c r="B96" s="34" t="s">
        <v>132</v>
      </c>
      <c r="C96" s="34" t="s">
        <v>239</v>
      </c>
      <c r="D96" s="34" t="s">
        <v>240</v>
      </c>
      <c r="E96" s="58" t="s">
        <v>241</v>
      </c>
      <c r="F96" s="37">
        <v>106666</v>
      </c>
      <c r="G96" s="34" t="s">
        <v>68</v>
      </c>
      <c r="H96" s="34" t="s">
        <v>47</v>
      </c>
      <c r="I96" s="34">
        <v>10</v>
      </c>
      <c r="J96" s="34">
        <v>195</v>
      </c>
      <c r="K96" s="34">
        <f t="shared" si="37"/>
        <v>1950</v>
      </c>
      <c r="L96" s="38"/>
      <c r="M96" s="38" t="s">
        <v>42</v>
      </c>
      <c r="N96" s="34" t="s">
        <v>43</v>
      </c>
      <c r="O96" s="58" t="s">
        <v>49</v>
      </c>
      <c r="P96" s="39" t="s">
        <v>200</v>
      </c>
      <c r="Q96" s="59" t="s">
        <v>46</v>
      </c>
      <c r="R96" s="68">
        <f>27568-1102</f>
        <v>26466</v>
      </c>
      <c r="S96" s="44">
        <f>33056-1210</f>
        <v>31846</v>
      </c>
      <c r="T96" s="69">
        <f>29254-3673</f>
        <v>25581</v>
      </c>
      <c r="U96" s="44">
        <f>1102+86</f>
        <v>1188</v>
      </c>
      <c r="V96" s="44">
        <f>1210+75</f>
        <v>1285</v>
      </c>
      <c r="W96" s="44">
        <f>3673+86</f>
        <v>3759</v>
      </c>
      <c r="X96" s="68">
        <f>R96+U96</f>
        <v>27654</v>
      </c>
      <c r="Y96" s="44">
        <f>S96+V96</f>
        <v>33131</v>
      </c>
      <c r="Z96" s="69">
        <f>T96+W96</f>
        <v>29340</v>
      </c>
      <c r="AA96" s="44"/>
      <c r="AB96" s="44"/>
      <c r="AC96" s="44"/>
      <c r="AD96" s="70">
        <v>23213</v>
      </c>
      <c r="AE96" s="48">
        <v>23076</v>
      </c>
      <c r="AF96" s="71">
        <v>28848</v>
      </c>
      <c r="AG96" s="48">
        <v>2289</v>
      </c>
      <c r="AH96" s="48">
        <v>1746</v>
      </c>
      <c r="AI96" s="48">
        <v>6062</v>
      </c>
      <c r="AJ96" s="70">
        <f t="shared" si="47"/>
        <v>25502</v>
      </c>
      <c r="AK96" s="48">
        <f t="shared" si="47"/>
        <v>24822</v>
      </c>
      <c r="AL96" s="71">
        <f t="shared" si="47"/>
        <v>34910</v>
      </c>
      <c r="AM96" s="70">
        <v>3327</v>
      </c>
      <c r="AN96" s="48">
        <v>3327</v>
      </c>
      <c r="AO96" s="71">
        <v>2938</v>
      </c>
      <c r="AP96" s="49">
        <f t="shared" ref="AP96:BA99" si="49">AVERAGE(R96,AD96)</f>
        <v>24839.5</v>
      </c>
      <c r="AQ96" s="49">
        <f t="shared" si="49"/>
        <v>27461</v>
      </c>
      <c r="AR96" s="49">
        <f t="shared" si="49"/>
        <v>27214.5</v>
      </c>
      <c r="AS96" s="60">
        <f t="shared" si="49"/>
        <v>1738.5</v>
      </c>
      <c r="AT96" s="49">
        <f t="shared" si="49"/>
        <v>1515.5</v>
      </c>
      <c r="AU96" s="61">
        <f t="shared" si="49"/>
        <v>4910.5</v>
      </c>
      <c r="AV96" s="53">
        <f t="shared" si="49"/>
        <v>26578</v>
      </c>
      <c r="AW96" s="53">
        <f t="shared" si="49"/>
        <v>28976.5</v>
      </c>
      <c r="AX96" s="53">
        <f t="shared" si="49"/>
        <v>32125</v>
      </c>
      <c r="AY96" s="60">
        <f t="shared" si="49"/>
        <v>3327</v>
      </c>
      <c r="AZ96" s="49">
        <f t="shared" si="49"/>
        <v>3327</v>
      </c>
      <c r="BA96" s="61">
        <f t="shared" si="49"/>
        <v>2938</v>
      </c>
      <c r="BB96" s="54">
        <f t="shared" si="43"/>
        <v>193991.5</v>
      </c>
      <c r="BC96" s="54">
        <f t="shared" si="44"/>
        <v>27713.071428571428</v>
      </c>
      <c r="BD96" s="62">
        <f t="shared" si="38"/>
        <v>22900</v>
      </c>
      <c r="BE96" s="56" t="s">
        <v>85</v>
      </c>
      <c r="BF96" s="65" t="s">
        <v>85</v>
      </c>
      <c r="BG96" s="65"/>
      <c r="BH96" s="100" t="s">
        <v>85</v>
      </c>
      <c r="BI96" s="74"/>
    </row>
    <row r="97" spans="1:61" s="73" customFormat="1">
      <c r="A97" s="57" t="s">
        <v>242</v>
      </c>
      <c r="B97" s="34" t="s">
        <v>132</v>
      </c>
      <c r="C97" s="34" t="s">
        <v>239</v>
      </c>
      <c r="D97" s="35" t="s">
        <v>240</v>
      </c>
      <c r="E97" s="58" t="s">
        <v>243</v>
      </c>
      <c r="F97" s="37">
        <v>77077</v>
      </c>
      <c r="G97" s="34" t="s">
        <v>63</v>
      </c>
      <c r="H97" s="34" t="s">
        <v>47</v>
      </c>
      <c r="I97" s="34">
        <v>10</v>
      </c>
      <c r="J97" s="34">
        <v>200</v>
      </c>
      <c r="K97" s="34">
        <f t="shared" si="37"/>
        <v>2000</v>
      </c>
      <c r="L97" s="38"/>
      <c r="M97" s="38" t="s">
        <v>42</v>
      </c>
      <c r="N97" s="34" t="s">
        <v>43</v>
      </c>
      <c r="O97" s="58" t="s">
        <v>44</v>
      </c>
      <c r="P97" s="39" t="s">
        <v>200</v>
      </c>
      <c r="Q97" s="59" t="s">
        <v>46</v>
      </c>
      <c r="R97" s="68">
        <f>15164-1762</f>
        <v>13402</v>
      </c>
      <c r="S97" s="44">
        <f>15607-493</f>
        <v>15114</v>
      </c>
      <c r="T97" s="69"/>
      <c r="U97" s="44">
        <f>1762+10</f>
        <v>1772</v>
      </c>
      <c r="V97" s="44">
        <f>493+10</f>
        <v>503</v>
      </c>
      <c r="W97" s="44"/>
      <c r="X97" s="68">
        <f t="shared" ref="X97:Y99" si="50">R97+U97</f>
        <v>15174</v>
      </c>
      <c r="Y97" s="44">
        <f t="shared" si="50"/>
        <v>15617</v>
      </c>
      <c r="Z97" s="69"/>
      <c r="AA97" s="44"/>
      <c r="AB97" s="44"/>
      <c r="AC97" s="44"/>
      <c r="AD97" s="70">
        <v>12611</v>
      </c>
      <c r="AE97" s="48">
        <v>14227</v>
      </c>
      <c r="AF97" s="71"/>
      <c r="AG97" s="48">
        <v>4680</v>
      </c>
      <c r="AH97" s="48">
        <v>678</v>
      </c>
      <c r="AI97" s="48"/>
      <c r="AJ97" s="70">
        <f t="shared" si="47"/>
        <v>17291</v>
      </c>
      <c r="AK97" s="48">
        <f t="shared" si="47"/>
        <v>14905</v>
      </c>
      <c r="AL97" s="71">
        <f t="shared" si="47"/>
        <v>0</v>
      </c>
      <c r="AM97" s="70">
        <v>1229</v>
      </c>
      <c r="AN97" s="48">
        <v>1315</v>
      </c>
      <c r="AO97" s="71"/>
      <c r="AP97" s="49">
        <f t="shared" si="49"/>
        <v>13006.5</v>
      </c>
      <c r="AQ97" s="49">
        <f t="shared" si="49"/>
        <v>14670.5</v>
      </c>
      <c r="AR97" s="49"/>
      <c r="AS97" s="60">
        <f t="shared" si="49"/>
        <v>3226</v>
      </c>
      <c r="AT97" s="49">
        <f t="shared" si="49"/>
        <v>590.5</v>
      </c>
      <c r="AU97" s="61"/>
      <c r="AV97" s="53">
        <f t="shared" si="49"/>
        <v>16232.5</v>
      </c>
      <c r="AW97" s="53">
        <f t="shared" si="49"/>
        <v>15261</v>
      </c>
      <c r="AX97" s="53">
        <f t="shared" si="49"/>
        <v>0</v>
      </c>
      <c r="AY97" s="60">
        <f t="shared" si="49"/>
        <v>1229</v>
      </c>
      <c r="AZ97" s="49">
        <f t="shared" si="49"/>
        <v>1315</v>
      </c>
      <c r="BA97" s="61"/>
      <c r="BB97" s="54">
        <f t="shared" si="43"/>
        <v>96423.5</v>
      </c>
      <c r="BC97" s="54">
        <f t="shared" si="44"/>
        <v>16070.583333333334</v>
      </c>
      <c r="BD97" s="62">
        <f t="shared" si="38"/>
        <v>7460</v>
      </c>
      <c r="BE97" s="56"/>
      <c r="BF97" s="330"/>
      <c r="BG97" s="330"/>
      <c r="BH97" s="56"/>
      <c r="BI97" s="74"/>
    </row>
    <row r="98" spans="1:61" s="56" customFormat="1">
      <c r="A98" s="57" t="s">
        <v>247</v>
      </c>
      <c r="B98" s="34" t="s">
        <v>132</v>
      </c>
      <c r="C98" s="34" t="s">
        <v>239</v>
      </c>
      <c r="D98" s="35" t="s">
        <v>240</v>
      </c>
      <c r="E98" s="58" t="s">
        <v>245</v>
      </c>
      <c r="F98" s="37">
        <v>3957700</v>
      </c>
      <c r="G98" s="34" t="s">
        <v>39</v>
      </c>
      <c r="H98" s="34" t="s">
        <v>40</v>
      </c>
      <c r="I98" s="34"/>
      <c r="J98" s="34"/>
      <c r="K98" s="34">
        <f t="shared" si="37"/>
        <v>0</v>
      </c>
      <c r="L98" s="38"/>
      <c r="M98" s="38" t="s">
        <v>42</v>
      </c>
      <c r="N98" s="34" t="s">
        <v>43</v>
      </c>
      <c r="O98" s="58" t="s">
        <v>44</v>
      </c>
      <c r="P98" s="39" t="s">
        <v>200</v>
      </c>
      <c r="Q98" s="59" t="s">
        <v>46</v>
      </c>
      <c r="R98" s="68">
        <f>215172-25502</f>
        <v>189670</v>
      </c>
      <c r="S98" s="44">
        <f>262385-17164</f>
        <v>245221</v>
      </c>
      <c r="T98" s="69"/>
      <c r="U98" s="44">
        <f>25502+543</f>
        <v>26045</v>
      </c>
      <c r="V98" s="44">
        <f>17164+487</f>
        <v>17651</v>
      </c>
      <c r="W98" s="44"/>
      <c r="X98" s="68">
        <f t="shared" si="50"/>
        <v>215715</v>
      </c>
      <c r="Y98" s="44">
        <f t="shared" si="50"/>
        <v>262872</v>
      </c>
      <c r="Z98" s="69"/>
      <c r="AA98" s="44"/>
      <c r="AB98" s="44"/>
      <c r="AC98" s="44"/>
      <c r="AD98" s="70">
        <v>166020</v>
      </c>
      <c r="AE98" s="48">
        <v>221517</v>
      </c>
      <c r="AF98" s="71"/>
      <c r="AG98" s="48">
        <v>101583</v>
      </c>
      <c r="AH98" s="48">
        <v>99558</v>
      </c>
      <c r="AI98" s="48"/>
      <c r="AJ98" s="70">
        <f t="shared" si="47"/>
        <v>267603</v>
      </c>
      <c r="AK98" s="48">
        <f t="shared" si="47"/>
        <v>321075</v>
      </c>
      <c r="AL98" s="71">
        <f t="shared" si="47"/>
        <v>0</v>
      </c>
      <c r="AM98" s="70">
        <f>23952+64260</f>
        <v>88212</v>
      </c>
      <c r="AN98" s="48">
        <f>24184+70538</f>
        <v>94722</v>
      </c>
      <c r="AO98" s="71"/>
      <c r="AP98" s="49">
        <f t="shared" si="49"/>
        <v>177845</v>
      </c>
      <c r="AQ98" s="49">
        <f t="shared" si="49"/>
        <v>233369</v>
      </c>
      <c r="AR98" s="49"/>
      <c r="AS98" s="60">
        <f t="shared" si="49"/>
        <v>63814</v>
      </c>
      <c r="AT98" s="49">
        <f t="shared" si="49"/>
        <v>58604.5</v>
      </c>
      <c r="AU98" s="61"/>
      <c r="AV98" s="53">
        <f t="shared" si="49"/>
        <v>241659</v>
      </c>
      <c r="AW98" s="53">
        <f t="shared" si="49"/>
        <v>291973.5</v>
      </c>
      <c r="AX98" s="53">
        <f t="shared" si="49"/>
        <v>0</v>
      </c>
      <c r="AY98" s="60">
        <f t="shared" si="49"/>
        <v>88212</v>
      </c>
      <c r="AZ98" s="49">
        <f t="shared" si="49"/>
        <v>94722</v>
      </c>
      <c r="BA98" s="61"/>
      <c r="BB98" s="54">
        <f t="shared" si="43"/>
        <v>1500268.5</v>
      </c>
      <c r="BC98" s="54">
        <f t="shared" si="44"/>
        <v>250044.75</v>
      </c>
      <c r="BD98" s="62">
        <f t="shared" si="38"/>
        <v>535782</v>
      </c>
      <c r="BF98" s="330"/>
      <c r="BG98" s="330"/>
    </row>
    <row r="99" spans="1:61" s="56" customFormat="1">
      <c r="A99" s="57" t="s">
        <v>248</v>
      </c>
      <c r="B99" s="34" t="s">
        <v>132</v>
      </c>
      <c r="C99" s="34" t="s">
        <v>239</v>
      </c>
      <c r="D99" s="35" t="s">
        <v>240</v>
      </c>
      <c r="E99" s="58" t="s">
        <v>245</v>
      </c>
      <c r="F99" s="37">
        <v>3957700</v>
      </c>
      <c r="G99" s="34" t="s">
        <v>39</v>
      </c>
      <c r="H99" s="34" t="s">
        <v>40</v>
      </c>
      <c r="I99" s="34">
        <v>12</v>
      </c>
      <c r="J99" s="34">
        <v>290</v>
      </c>
      <c r="K99" s="34">
        <f t="shared" si="37"/>
        <v>3480</v>
      </c>
      <c r="L99" s="38"/>
      <c r="M99" s="38" t="s">
        <v>42</v>
      </c>
      <c r="N99" s="34" t="s">
        <v>43</v>
      </c>
      <c r="O99" s="58" t="s">
        <v>44</v>
      </c>
      <c r="P99" s="39" t="s">
        <v>113</v>
      </c>
      <c r="Q99" s="59" t="s">
        <v>46</v>
      </c>
      <c r="R99" s="68">
        <f>32167-1572</f>
        <v>30595</v>
      </c>
      <c r="S99" s="44">
        <f>51702-2758</f>
        <v>48944</v>
      </c>
      <c r="T99" s="69"/>
      <c r="U99" s="44">
        <f>1572+296</f>
        <v>1868</v>
      </c>
      <c r="V99" s="44">
        <f>2758+305</f>
        <v>3063</v>
      </c>
      <c r="W99" s="44"/>
      <c r="X99" s="68">
        <f t="shared" si="50"/>
        <v>32463</v>
      </c>
      <c r="Y99" s="44">
        <f t="shared" si="50"/>
        <v>52007</v>
      </c>
      <c r="Z99" s="69"/>
      <c r="AA99" s="44"/>
      <c r="AB99" s="44"/>
      <c r="AC99" s="44"/>
      <c r="AD99" s="70">
        <v>28468</v>
      </c>
      <c r="AE99" s="48">
        <v>46186</v>
      </c>
      <c r="AF99" s="71"/>
      <c r="AG99" s="48">
        <v>2873</v>
      </c>
      <c r="AH99" s="48">
        <v>5290</v>
      </c>
      <c r="AI99" s="48"/>
      <c r="AJ99" s="70">
        <f t="shared" si="47"/>
        <v>31341</v>
      </c>
      <c r="AK99" s="48">
        <f t="shared" si="47"/>
        <v>51476</v>
      </c>
      <c r="AL99" s="71">
        <f t="shared" si="47"/>
        <v>0</v>
      </c>
      <c r="AM99" s="70">
        <v>6950</v>
      </c>
      <c r="AN99" s="48">
        <v>8237</v>
      </c>
      <c r="AO99" s="71"/>
      <c r="AP99" s="49">
        <f t="shared" si="49"/>
        <v>29531.5</v>
      </c>
      <c r="AQ99" s="49">
        <f t="shared" si="49"/>
        <v>47565</v>
      </c>
      <c r="AR99" s="49"/>
      <c r="AS99" s="60">
        <f t="shared" si="49"/>
        <v>2370.5</v>
      </c>
      <c r="AT99" s="49">
        <f t="shared" si="49"/>
        <v>4176.5</v>
      </c>
      <c r="AU99" s="61"/>
      <c r="AV99" s="53">
        <f t="shared" si="49"/>
        <v>31902</v>
      </c>
      <c r="AW99" s="53">
        <f t="shared" si="49"/>
        <v>51741.5</v>
      </c>
      <c r="AX99" s="53">
        <f t="shared" si="49"/>
        <v>0</v>
      </c>
      <c r="AY99" s="60">
        <f t="shared" si="49"/>
        <v>6950</v>
      </c>
      <c r="AZ99" s="49">
        <f t="shared" si="49"/>
        <v>8237</v>
      </c>
      <c r="BA99" s="61"/>
      <c r="BB99" s="54">
        <f t="shared" si="43"/>
        <v>211251.5</v>
      </c>
      <c r="BC99" s="54">
        <f t="shared" si="44"/>
        <v>35208.583333333336</v>
      </c>
      <c r="BD99" s="62">
        <f t="shared" si="38"/>
        <v>42987</v>
      </c>
      <c r="BF99" s="330"/>
      <c r="BG99" s="330"/>
    </row>
    <row r="100" spans="1:61" s="56" customFormat="1">
      <c r="A100" s="57" t="s">
        <v>244</v>
      </c>
      <c r="B100" s="34" t="s">
        <v>132</v>
      </c>
      <c r="C100" s="34" t="s">
        <v>239</v>
      </c>
      <c r="D100" s="35" t="s">
        <v>240</v>
      </c>
      <c r="E100" s="58" t="s">
        <v>245</v>
      </c>
      <c r="F100" s="37">
        <v>3957700</v>
      </c>
      <c r="G100" s="34" t="s">
        <v>39</v>
      </c>
      <c r="H100" s="34" t="s">
        <v>47</v>
      </c>
      <c r="I100" s="34">
        <v>8</v>
      </c>
      <c r="J100" s="34">
        <v>176</v>
      </c>
      <c r="K100" s="34">
        <f t="shared" si="37"/>
        <v>1408</v>
      </c>
      <c r="L100" s="38" t="s">
        <v>246</v>
      </c>
      <c r="M100" s="38" t="s">
        <v>42</v>
      </c>
      <c r="N100" s="34" t="s">
        <v>43</v>
      </c>
      <c r="O100" s="58" t="s">
        <v>49</v>
      </c>
      <c r="P100" s="39" t="s">
        <v>50</v>
      </c>
      <c r="Q100" s="59" t="s">
        <v>51</v>
      </c>
      <c r="R100" s="68"/>
      <c r="S100" s="44"/>
      <c r="T100" s="69"/>
      <c r="U100" s="44"/>
      <c r="V100" s="44"/>
      <c r="W100" s="44"/>
      <c r="X100" s="68"/>
      <c r="Y100" s="44"/>
      <c r="Z100" s="69"/>
      <c r="AA100" s="44"/>
      <c r="AB100" s="44"/>
      <c r="AC100" s="44"/>
      <c r="AD100" s="70"/>
      <c r="AE100" s="48"/>
      <c r="AF100" s="71"/>
      <c r="AG100" s="48"/>
      <c r="AH100" s="48"/>
      <c r="AI100" s="48"/>
      <c r="AJ100" s="70">
        <f t="shared" si="47"/>
        <v>0</v>
      </c>
      <c r="AK100" s="48">
        <f t="shared" si="47"/>
        <v>0</v>
      </c>
      <c r="AL100" s="71">
        <f t="shared" si="47"/>
        <v>0</v>
      </c>
      <c r="AM100" s="70"/>
      <c r="AN100" s="48"/>
      <c r="AO100" s="71"/>
      <c r="AP100" s="49">
        <v>192192</v>
      </c>
      <c r="AQ100" s="49">
        <v>208718</v>
      </c>
      <c r="AR100" s="49">
        <v>194320</v>
      </c>
      <c r="AS100" s="60">
        <v>85492</v>
      </c>
      <c r="AT100" s="49">
        <v>82362</v>
      </c>
      <c r="AU100" s="61">
        <v>79861</v>
      </c>
      <c r="AV100" s="53">
        <f>AP100+AS100</f>
        <v>277684</v>
      </c>
      <c r="AW100" s="53">
        <f>AQ100+AT100</f>
        <v>291080</v>
      </c>
      <c r="AX100" s="53">
        <f>AR100+AU100</f>
        <v>274181</v>
      </c>
      <c r="AY100" s="60">
        <f>11568+4298+52653</f>
        <v>68519</v>
      </c>
      <c r="AZ100" s="49">
        <f>11695+4296+51976</f>
        <v>67967</v>
      </c>
      <c r="BA100" s="61">
        <f>11696+4302+51734</f>
        <v>67732</v>
      </c>
      <c r="BB100" s="54">
        <f t="shared" si="43"/>
        <v>1953681</v>
      </c>
      <c r="BC100" s="54">
        <f t="shared" si="44"/>
        <v>279097.28571428574</v>
      </c>
      <c r="BD100" s="62">
        <f t="shared" si="38"/>
        <v>478294</v>
      </c>
      <c r="BF100" s="330"/>
      <c r="BG100" s="330"/>
    </row>
    <row r="101" spans="1:61" s="73" customFormat="1">
      <c r="A101" s="57" t="s">
        <v>249</v>
      </c>
      <c r="B101" s="34" t="s">
        <v>35</v>
      </c>
      <c r="C101" s="34" t="s">
        <v>239</v>
      </c>
      <c r="D101" s="35" t="s">
        <v>240</v>
      </c>
      <c r="E101" s="58" t="s">
        <v>245</v>
      </c>
      <c r="F101" s="37">
        <v>3957700</v>
      </c>
      <c r="G101" s="34" t="s">
        <v>39</v>
      </c>
      <c r="H101" s="34" t="s">
        <v>40</v>
      </c>
      <c r="I101" s="34">
        <v>10</v>
      </c>
      <c r="J101" s="34">
        <v>292</v>
      </c>
      <c r="K101" s="34">
        <f t="shared" si="37"/>
        <v>2920</v>
      </c>
      <c r="L101" s="38" t="s">
        <v>120</v>
      </c>
      <c r="M101" s="38" t="s">
        <v>42</v>
      </c>
      <c r="N101" s="34" t="s">
        <v>43</v>
      </c>
      <c r="O101" s="58" t="s">
        <v>44</v>
      </c>
      <c r="P101" s="39" t="s">
        <v>45</v>
      </c>
      <c r="Q101" s="59" t="s">
        <v>46</v>
      </c>
      <c r="R101" s="68">
        <f>105783-12129</f>
        <v>93654</v>
      </c>
      <c r="S101" s="44">
        <f>118807-7260</f>
        <v>111547</v>
      </c>
      <c r="T101" s="69"/>
      <c r="U101" s="44">
        <f>12129+200</f>
        <v>12329</v>
      </c>
      <c r="V101" s="44">
        <f>7260+179</f>
        <v>7439</v>
      </c>
      <c r="W101" s="44"/>
      <c r="X101" s="68">
        <f>R101+U101</f>
        <v>105983</v>
      </c>
      <c r="Y101" s="44">
        <f>S101+V101</f>
        <v>118986</v>
      </c>
      <c r="Z101" s="69"/>
      <c r="AA101" s="44"/>
      <c r="AB101" s="44"/>
      <c r="AC101" s="44"/>
      <c r="AD101" s="70">
        <v>67587</v>
      </c>
      <c r="AE101" s="48">
        <v>87589</v>
      </c>
      <c r="AF101" s="71"/>
      <c r="AG101" s="48">
        <v>29951</v>
      </c>
      <c r="AH101" s="48">
        <v>25434</v>
      </c>
      <c r="AI101" s="48"/>
      <c r="AJ101" s="70">
        <f t="shared" si="47"/>
        <v>97538</v>
      </c>
      <c r="AK101" s="48">
        <f t="shared" si="47"/>
        <v>113023</v>
      </c>
      <c r="AL101" s="71">
        <f t="shared" si="47"/>
        <v>0</v>
      </c>
      <c r="AM101" s="70">
        <v>26594</v>
      </c>
      <c r="AN101" s="48">
        <v>24737</v>
      </c>
      <c r="AO101" s="71"/>
      <c r="AP101" s="49">
        <f>AVERAGE(R101,AD101)</f>
        <v>80620.5</v>
      </c>
      <c r="AQ101" s="49">
        <f>AVERAGE(S101,AE101)</f>
        <v>99568</v>
      </c>
      <c r="AR101" s="49"/>
      <c r="AS101" s="60">
        <f>AVERAGE(U101,AG101)</f>
        <v>21140</v>
      </c>
      <c r="AT101" s="49">
        <f>AVERAGE(V101,AH101)</f>
        <v>16436.5</v>
      </c>
      <c r="AU101" s="61"/>
      <c r="AV101" s="53">
        <f>AVERAGE(X101,AJ101)</f>
        <v>101760.5</v>
      </c>
      <c r="AW101" s="53">
        <f>AVERAGE(Y101,AK101)</f>
        <v>116004.5</v>
      </c>
      <c r="AX101" s="53">
        <f>AVERAGE(Z101,AL101)</f>
        <v>0</v>
      </c>
      <c r="AY101" s="60">
        <f>AVERAGE(AA101,AM101)</f>
        <v>26594</v>
      </c>
      <c r="AZ101" s="49">
        <f>AVERAGE(AB101,AN101)</f>
        <v>24737</v>
      </c>
      <c r="BA101" s="61"/>
      <c r="BB101" s="54">
        <f t="shared" si="43"/>
        <v>624807</v>
      </c>
      <c r="BC101" s="54">
        <f t="shared" si="44"/>
        <v>104134.5</v>
      </c>
      <c r="BD101" s="62">
        <f t="shared" si="38"/>
        <v>157707</v>
      </c>
      <c r="BE101" s="56"/>
      <c r="BF101" s="330"/>
      <c r="BG101" s="330"/>
      <c r="BH101" s="56"/>
      <c r="BI101" s="63"/>
    </row>
    <row r="102" spans="1:61" s="73" customFormat="1">
      <c r="A102" s="57" t="s">
        <v>250</v>
      </c>
      <c r="B102" s="34" t="s">
        <v>132</v>
      </c>
      <c r="C102" s="34" t="s">
        <v>239</v>
      </c>
      <c r="D102" s="35" t="s">
        <v>240</v>
      </c>
      <c r="E102" s="58" t="s">
        <v>245</v>
      </c>
      <c r="F102" s="37">
        <v>3957700</v>
      </c>
      <c r="G102" s="34" t="s">
        <v>39</v>
      </c>
      <c r="H102" s="34" t="s">
        <v>47</v>
      </c>
      <c r="I102" s="34">
        <v>6</v>
      </c>
      <c r="J102" s="34">
        <v>196</v>
      </c>
      <c r="K102" s="34">
        <f t="shared" si="37"/>
        <v>1176</v>
      </c>
      <c r="L102" s="34"/>
      <c r="M102" s="34" t="s">
        <v>53</v>
      </c>
      <c r="N102" s="34" t="s">
        <v>43</v>
      </c>
      <c r="O102" s="58" t="s">
        <v>54</v>
      </c>
      <c r="P102" s="39" t="s">
        <v>147</v>
      </c>
      <c r="Q102" s="59" t="s">
        <v>51</v>
      </c>
      <c r="R102" s="283"/>
      <c r="S102" s="284"/>
      <c r="T102" s="285"/>
      <c r="U102" s="284"/>
      <c r="V102" s="284"/>
      <c r="W102" s="284"/>
      <c r="X102" s="283"/>
      <c r="Y102" s="284"/>
      <c r="Z102" s="285"/>
      <c r="AA102" s="284"/>
      <c r="AB102" s="284"/>
      <c r="AC102" s="284"/>
      <c r="AD102" s="286"/>
      <c r="AE102" s="287"/>
      <c r="AF102" s="288"/>
      <c r="AG102" s="287"/>
      <c r="AH102" s="287"/>
      <c r="AI102" s="287"/>
      <c r="AJ102" s="286"/>
      <c r="AK102" s="287"/>
      <c r="AL102" s="288"/>
      <c r="AM102" s="286"/>
      <c r="AN102" s="287"/>
      <c r="AO102" s="288"/>
      <c r="AP102" s="34"/>
      <c r="AQ102" s="34"/>
      <c r="AR102" s="34"/>
      <c r="AS102" s="60">
        <v>172002</v>
      </c>
      <c r="AT102" s="49"/>
      <c r="AU102" s="61"/>
      <c r="AV102" s="53">
        <f t="shared" ref="AV102:AW104" si="51">AP102+AS102</f>
        <v>172002</v>
      </c>
      <c r="AW102" s="53">
        <f t="shared" si="51"/>
        <v>0</v>
      </c>
      <c r="AX102" s="53"/>
      <c r="AY102" s="35"/>
      <c r="AZ102" s="34"/>
      <c r="BA102" s="64"/>
      <c r="BB102" s="54">
        <f t="shared" si="43"/>
        <v>860010</v>
      </c>
      <c r="BC102" s="54">
        <f t="shared" si="44"/>
        <v>172002</v>
      </c>
      <c r="BD102" s="62">
        <f t="shared" si="38"/>
        <v>0</v>
      </c>
      <c r="BE102" s="387"/>
      <c r="BF102" s="330"/>
      <c r="BG102" s="106">
        <v>2001</v>
      </c>
      <c r="BH102" s="103" t="s">
        <v>251</v>
      </c>
      <c r="BI102" s="56"/>
    </row>
    <row r="103" spans="1:61" s="73" customFormat="1">
      <c r="A103" s="57" t="s">
        <v>252</v>
      </c>
      <c r="B103" s="34" t="s">
        <v>132</v>
      </c>
      <c r="C103" s="34" t="s">
        <v>239</v>
      </c>
      <c r="D103" s="35" t="s">
        <v>240</v>
      </c>
      <c r="E103" s="58" t="s">
        <v>245</v>
      </c>
      <c r="F103" s="37">
        <v>3957700</v>
      </c>
      <c r="G103" s="34" t="s">
        <v>39</v>
      </c>
      <c r="H103" s="34" t="s">
        <v>47</v>
      </c>
      <c r="I103" s="34">
        <v>6</v>
      </c>
      <c r="J103" s="34">
        <v>160</v>
      </c>
      <c r="K103" s="34">
        <f t="shared" si="37"/>
        <v>960</v>
      </c>
      <c r="L103" s="34"/>
      <c r="M103" s="34" t="s">
        <v>53</v>
      </c>
      <c r="N103" s="34" t="s">
        <v>43</v>
      </c>
      <c r="O103" s="58" t="s">
        <v>54</v>
      </c>
      <c r="P103" s="39" t="s">
        <v>50</v>
      </c>
      <c r="Q103" s="59" t="s">
        <v>51</v>
      </c>
      <c r="R103" s="283"/>
      <c r="S103" s="284"/>
      <c r="T103" s="285"/>
      <c r="U103" s="284"/>
      <c r="V103" s="284"/>
      <c r="W103" s="284"/>
      <c r="X103" s="283"/>
      <c r="Y103" s="284"/>
      <c r="Z103" s="285"/>
      <c r="AA103" s="284"/>
      <c r="AB103" s="284"/>
      <c r="AC103" s="284"/>
      <c r="AD103" s="286"/>
      <c r="AE103" s="287"/>
      <c r="AF103" s="288"/>
      <c r="AG103" s="287"/>
      <c r="AH103" s="287"/>
      <c r="AI103" s="287"/>
      <c r="AJ103" s="286"/>
      <c r="AK103" s="287"/>
      <c r="AL103" s="288"/>
      <c r="AM103" s="286"/>
      <c r="AN103" s="287"/>
      <c r="AO103" s="288"/>
      <c r="AP103" s="34"/>
      <c r="AQ103" s="34"/>
      <c r="AR103" s="34"/>
      <c r="AS103" s="60">
        <v>165111</v>
      </c>
      <c r="AT103" s="49"/>
      <c r="AU103" s="61"/>
      <c r="AV103" s="53">
        <f t="shared" si="51"/>
        <v>165111</v>
      </c>
      <c r="AW103" s="53">
        <f t="shared" si="51"/>
        <v>0</v>
      </c>
      <c r="AX103" s="53"/>
      <c r="AY103" s="35"/>
      <c r="AZ103" s="34"/>
      <c r="BA103" s="64"/>
      <c r="BB103" s="54">
        <f t="shared" si="43"/>
        <v>825555</v>
      </c>
      <c r="BC103" s="54">
        <f t="shared" si="44"/>
        <v>165111</v>
      </c>
      <c r="BD103" s="62">
        <f t="shared" si="38"/>
        <v>0</v>
      </c>
      <c r="BE103" s="387"/>
      <c r="BF103" s="330"/>
      <c r="BG103" s="106">
        <v>2001</v>
      </c>
      <c r="BH103" s="103" t="s">
        <v>110</v>
      </c>
      <c r="BI103" s="56"/>
    </row>
    <row r="104" spans="1:61" s="56" customFormat="1">
      <c r="A104" s="57" t="s">
        <v>253</v>
      </c>
      <c r="B104" s="34" t="s">
        <v>132</v>
      </c>
      <c r="C104" s="34" t="s">
        <v>239</v>
      </c>
      <c r="D104" s="35" t="s">
        <v>240</v>
      </c>
      <c r="E104" s="58" t="s">
        <v>254</v>
      </c>
      <c r="F104" s="37">
        <v>769600</v>
      </c>
      <c r="G104" s="34" t="s">
        <v>127</v>
      </c>
      <c r="H104" s="34" t="s">
        <v>47</v>
      </c>
      <c r="I104" s="34">
        <v>8</v>
      </c>
      <c r="J104" s="34">
        <v>176</v>
      </c>
      <c r="K104" s="34">
        <f t="shared" si="37"/>
        <v>1408</v>
      </c>
      <c r="L104" s="38" t="s">
        <v>246</v>
      </c>
      <c r="M104" s="38" t="s">
        <v>42</v>
      </c>
      <c r="N104" s="34" t="s">
        <v>43</v>
      </c>
      <c r="O104" s="58" t="s">
        <v>49</v>
      </c>
      <c r="P104" s="39" t="s">
        <v>50</v>
      </c>
      <c r="Q104" s="59" t="s">
        <v>51</v>
      </c>
      <c r="R104" s="68"/>
      <c r="S104" s="44"/>
      <c r="T104" s="69"/>
      <c r="U104" s="44"/>
      <c r="V104" s="44"/>
      <c r="W104" s="44"/>
      <c r="X104" s="68"/>
      <c r="Y104" s="44"/>
      <c r="Z104" s="69"/>
      <c r="AA104" s="44"/>
      <c r="AB104" s="44"/>
      <c r="AC104" s="44"/>
      <c r="AD104" s="70"/>
      <c r="AE104" s="48"/>
      <c r="AF104" s="71"/>
      <c r="AG104" s="48"/>
      <c r="AH104" s="48"/>
      <c r="AI104" s="48"/>
      <c r="AJ104" s="70">
        <f t="shared" ref="AJ104:AL111" si="52">AD104+AG104</f>
        <v>0</v>
      </c>
      <c r="AK104" s="48">
        <f t="shared" si="52"/>
        <v>0</v>
      </c>
      <c r="AL104" s="71">
        <f t="shared" si="52"/>
        <v>0</v>
      </c>
      <c r="AM104" s="70"/>
      <c r="AN104" s="48"/>
      <c r="AO104" s="71"/>
      <c r="AP104" s="49">
        <v>83246</v>
      </c>
      <c r="AQ104" s="49">
        <v>91461</v>
      </c>
      <c r="AR104" s="49">
        <v>83498</v>
      </c>
      <c r="AS104" s="60">
        <v>73322</v>
      </c>
      <c r="AT104" s="49">
        <v>75710</v>
      </c>
      <c r="AU104" s="61">
        <v>74885</v>
      </c>
      <c r="AV104" s="53">
        <f t="shared" si="51"/>
        <v>156568</v>
      </c>
      <c r="AW104" s="53">
        <f t="shared" si="51"/>
        <v>167171</v>
      </c>
      <c r="AX104" s="53">
        <f>AR104+AU104</f>
        <v>158383</v>
      </c>
      <c r="AY104" s="60">
        <f>8839+58302</f>
        <v>67141</v>
      </c>
      <c r="AZ104" s="49">
        <f>8919+57797</f>
        <v>66716</v>
      </c>
      <c r="BA104" s="61">
        <f>8923+57794</f>
        <v>66717</v>
      </c>
      <c r="BB104" s="54">
        <f t="shared" si="43"/>
        <v>1108394</v>
      </c>
      <c r="BC104" s="54">
        <f t="shared" si="44"/>
        <v>158342</v>
      </c>
      <c r="BD104" s="62">
        <f t="shared" si="38"/>
        <v>469138</v>
      </c>
      <c r="BF104" s="330"/>
      <c r="BG104" s="330"/>
    </row>
    <row r="105" spans="1:61" s="56" customFormat="1">
      <c r="A105" s="57" t="s">
        <v>255</v>
      </c>
      <c r="B105" s="34" t="s">
        <v>132</v>
      </c>
      <c r="C105" s="34" t="s">
        <v>239</v>
      </c>
      <c r="D105" s="35" t="s">
        <v>240</v>
      </c>
      <c r="E105" s="58" t="s">
        <v>254</v>
      </c>
      <c r="F105" s="37">
        <v>769600</v>
      </c>
      <c r="G105" s="34" t="s">
        <v>127</v>
      </c>
      <c r="H105" s="34" t="s">
        <v>47</v>
      </c>
      <c r="I105" s="34">
        <v>10</v>
      </c>
      <c r="J105" s="34">
        <v>195</v>
      </c>
      <c r="K105" s="34">
        <f t="shared" si="37"/>
        <v>1950</v>
      </c>
      <c r="L105" s="38"/>
      <c r="M105" s="38" t="s">
        <v>42</v>
      </c>
      <c r="N105" s="34" t="s">
        <v>43</v>
      </c>
      <c r="O105" s="58" t="s">
        <v>49</v>
      </c>
      <c r="P105" s="39" t="s">
        <v>200</v>
      </c>
      <c r="Q105" s="59" t="s">
        <v>46</v>
      </c>
      <c r="R105" s="68">
        <f>74389-5821</f>
        <v>68568</v>
      </c>
      <c r="S105" s="44">
        <f>95665-12791</f>
        <v>82874</v>
      </c>
      <c r="T105" s="69">
        <f>81146-9133</f>
        <v>72013</v>
      </c>
      <c r="U105" s="44">
        <f>5821+2678</f>
        <v>8499</v>
      </c>
      <c r="V105" s="44">
        <f>12791+2669</f>
        <v>15460</v>
      </c>
      <c r="W105" s="44">
        <f>9133+2667</f>
        <v>11800</v>
      </c>
      <c r="X105" s="68">
        <f>R105+U105</f>
        <v>77067</v>
      </c>
      <c r="Y105" s="44">
        <f>S105+V105</f>
        <v>98334</v>
      </c>
      <c r="Z105" s="69">
        <f>T105+W105</f>
        <v>83813</v>
      </c>
      <c r="AA105" s="44"/>
      <c r="AB105" s="44"/>
      <c r="AC105" s="44"/>
      <c r="AD105" s="70">
        <v>69488</v>
      </c>
      <c r="AE105" s="48">
        <v>82838</v>
      </c>
      <c r="AF105" s="71"/>
      <c r="AG105" s="48">
        <v>4904</v>
      </c>
      <c r="AH105" s="48">
        <v>13768</v>
      </c>
      <c r="AI105" s="48">
        <v>77200</v>
      </c>
      <c r="AJ105" s="70">
        <f t="shared" si="52"/>
        <v>74392</v>
      </c>
      <c r="AK105" s="48">
        <f t="shared" si="52"/>
        <v>96606</v>
      </c>
      <c r="AL105" s="71">
        <f t="shared" si="52"/>
        <v>77200</v>
      </c>
      <c r="AM105" s="70">
        <v>7144</v>
      </c>
      <c r="AN105" s="48">
        <v>7164</v>
      </c>
      <c r="AO105" s="71">
        <v>7173</v>
      </c>
      <c r="AP105" s="49">
        <f t="shared" ref="AP105:BA105" si="53">AVERAGE(R105,AD105)</f>
        <v>69028</v>
      </c>
      <c r="AQ105" s="49">
        <f t="shared" si="53"/>
        <v>82856</v>
      </c>
      <c r="AR105" s="49">
        <f t="shared" si="53"/>
        <v>72013</v>
      </c>
      <c r="AS105" s="60">
        <f t="shared" si="53"/>
        <v>6701.5</v>
      </c>
      <c r="AT105" s="49">
        <f t="shared" si="53"/>
        <v>14614</v>
      </c>
      <c r="AU105" s="61">
        <f t="shared" si="53"/>
        <v>44500</v>
      </c>
      <c r="AV105" s="53">
        <f t="shared" si="53"/>
        <v>75729.5</v>
      </c>
      <c r="AW105" s="53">
        <f t="shared" si="53"/>
        <v>97470</v>
      </c>
      <c r="AX105" s="53">
        <f t="shared" si="53"/>
        <v>80506.5</v>
      </c>
      <c r="AY105" s="60">
        <f t="shared" si="53"/>
        <v>7144</v>
      </c>
      <c r="AZ105" s="49">
        <f t="shared" si="53"/>
        <v>7164</v>
      </c>
      <c r="BA105" s="61">
        <f t="shared" si="53"/>
        <v>7173</v>
      </c>
      <c r="BB105" s="54">
        <f t="shared" si="43"/>
        <v>556624</v>
      </c>
      <c r="BC105" s="54">
        <f t="shared" si="44"/>
        <v>79517.71428571429</v>
      </c>
      <c r="BD105" s="62">
        <f t="shared" si="38"/>
        <v>50057</v>
      </c>
      <c r="BF105" s="330"/>
      <c r="BG105" s="330"/>
    </row>
    <row r="106" spans="1:61" s="56" customFormat="1">
      <c r="A106" s="57" t="s">
        <v>256</v>
      </c>
      <c r="B106" s="34" t="s">
        <v>132</v>
      </c>
      <c r="C106" s="34" t="s">
        <v>239</v>
      </c>
      <c r="D106" s="35" t="s">
        <v>240</v>
      </c>
      <c r="E106" s="58" t="s">
        <v>257</v>
      </c>
      <c r="F106" s="37">
        <v>203500</v>
      </c>
      <c r="G106" s="34" t="s">
        <v>68</v>
      </c>
      <c r="H106" s="34" t="s">
        <v>47</v>
      </c>
      <c r="I106" s="34">
        <v>10</v>
      </c>
      <c r="J106" s="34">
        <v>195</v>
      </c>
      <c r="K106" s="34">
        <f t="shared" si="37"/>
        <v>1950</v>
      </c>
      <c r="L106" s="38"/>
      <c r="M106" s="38" t="s">
        <v>42</v>
      </c>
      <c r="N106" s="34" t="s">
        <v>43</v>
      </c>
      <c r="O106" s="58" t="s">
        <v>44</v>
      </c>
      <c r="P106" s="39" t="s">
        <v>200</v>
      </c>
      <c r="Q106" s="59" t="s">
        <v>46</v>
      </c>
      <c r="R106" s="68">
        <f>31090-2548</f>
        <v>28542</v>
      </c>
      <c r="S106" s="44">
        <f>32372-500</f>
        <v>31872</v>
      </c>
      <c r="T106" s="69"/>
      <c r="U106" s="44">
        <f>2548+35</f>
        <v>2583</v>
      </c>
      <c r="V106" s="44">
        <f>500+35</f>
        <v>535</v>
      </c>
      <c r="W106" s="44"/>
      <c r="X106" s="68">
        <f t="shared" ref="X106:Y108" si="54">R106+U106</f>
        <v>31125</v>
      </c>
      <c r="Y106" s="44">
        <f t="shared" si="54"/>
        <v>32407</v>
      </c>
      <c r="Z106" s="69"/>
      <c r="AA106" s="44"/>
      <c r="AB106" s="44"/>
      <c r="AC106" s="44"/>
      <c r="AD106" s="70">
        <v>26930</v>
      </c>
      <c r="AE106" s="48">
        <v>33396</v>
      </c>
      <c r="AF106" s="71"/>
      <c r="AG106" s="48">
        <v>3832</v>
      </c>
      <c r="AH106" s="48">
        <v>687</v>
      </c>
      <c r="AI106" s="48"/>
      <c r="AJ106" s="70">
        <f t="shared" si="52"/>
        <v>30762</v>
      </c>
      <c r="AK106" s="48">
        <f t="shared" si="52"/>
        <v>34083</v>
      </c>
      <c r="AL106" s="71">
        <f t="shared" si="52"/>
        <v>0</v>
      </c>
      <c r="AM106" s="70">
        <v>1511</v>
      </c>
      <c r="AN106" s="48">
        <v>1942</v>
      </c>
      <c r="AO106" s="71"/>
      <c r="AP106" s="49">
        <f>AVERAGE(R106,AD106)</f>
        <v>27736</v>
      </c>
      <c r="AQ106" s="49">
        <f>AVERAGE(S106,AE106)</f>
        <v>32634</v>
      </c>
      <c r="AR106" s="49"/>
      <c r="AS106" s="60">
        <f>AVERAGE(U106,AG106)</f>
        <v>3207.5</v>
      </c>
      <c r="AT106" s="49">
        <f>AVERAGE(V106,AH106)</f>
        <v>611</v>
      </c>
      <c r="AU106" s="61"/>
      <c r="AV106" s="53">
        <f>AVERAGE(X106,AJ106)</f>
        <v>30943.5</v>
      </c>
      <c r="AW106" s="53">
        <f>AVERAGE(Y106,AK106)</f>
        <v>33245</v>
      </c>
      <c r="AX106" s="53">
        <f>AVERAGE(Z106,AL106)</f>
        <v>0</v>
      </c>
      <c r="AY106" s="60">
        <f>AVERAGE(AA106,AM106)</f>
        <v>1511</v>
      </c>
      <c r="AZ106" s="49">
        <f>AVERAGE(AB106,AN106)</f>
        <v>1942</v>
      </c>
      <c r="BA106" s="61"/>
      <c r="BB106" s="54">
        <f t="shared" si="43"/>
        <v>187962.5</v>
      </c>
      <c r="BC106" s="54">
        <f t="shared" si="44"/>
        <v>31327.083333333332</v>
      </c>
      <c r="BD106" s="62">
        <f t="shared" si="38"/>
        <v>9497</v>
      </c>
      <c r="BF106" s="330"/>
      <c r="BG106" s="330"/>
    </row>
    <row r="107" spans="1:61" s="56" customFormat="1">
      <c r="A107" s="57" t="s">
        <v>258</v>
      </c>
      <c r="B107" s="34" t="s">
        <v>35</v>
      </c>
      <c r="C107" s="34" t="s">
        <v>239</v>
      </c>
      <c r="D107" s="35" t="s">
        <v>240</v>
      </c>
      <c r="E107" s="58" t="s">
        <v>257</v>
      </c>
      <c r="F107" s="37">
        <v>203500</v>
      </c>
      <c r="G107" s="34" t="s">
        <v>68</v>
      </c>
      <c r="H107" s="34" t="s">
        <v>47</v>
      </c>
      <c r="I107" s="34">
        <v>8</v>
      </c>
      <c r="J107" s="34">
        <v>195</v>
      </c>
      <c r="K107" s="34">
        <f t="shared" si="37"/>
        <v>1560</v>
      </c>
      <c r="L107" s="38"/>
      <c r="M107" s="38" t="s">
        <v>42</v>
      </c>
      <c r="N107" s="34" t="s">
        <v>43</v>
      </c>
      <c r="O107" s="58" t="s">
        <v>54</v>
      </c>
      <c r="P107" s="39" t="s">
        <v>70</v>
      </c>
      <c r="Q107" s="59" t="s">
        <v>46</v>
      </c>
      <c r="R107" s="68">
        <v>4034</v>
      </c>
      <c r="S107" s="44"/>
      <c r="T107" s="69"/>
      <c r="U107" s="44">
        <v>200</v>
      </c>
      <c r="V107" s="44"/>
      <c r="W107" s="44"/>
      <c r="X107" s="68">
        <f t="shared" si="54"/>
        <v>4234</v>
      </c>
      <c r="Y107" s="44">
        <f t="shared" si="54"/>
        <v>0</v>
      </c>
      <c r="Z107" s="69">
        <f>T107+W107</f>
        <v>0</v>
      </c>
      <c r="AA107" s="44"/>
      <c r="AB107" s="44"/>
      <c r="AC107" s="44"/>
      <c r="AD107" s="70">
        <v>4003</v>
      </c>
      <c r="AE107" s="48"/>
      <c r="AF107" s="71"/>
      <c r="AG107" s="48">
        <v>389</v>
      </c>
      <c r="AH107" s="48"/>
      <c r="AI107" s="48"/>
      <c r="AJ107" s="70">
        <f t="shared" si="52"/>
        <v>4392</v>
      </c>
      <c r="AK107" s="48">
        <f t="shared" si="52"/>
        <v>0</v>
      </c>
      <c r="AL107" s="71">
        <f t="shared" si="52"/>
        <v>0</v>
      </c>
      <c r="AM107" s="70">
        <v>261</v>
      </c>
      <c r="AN107" s="48"/>
      <c r="AO107" s="71"/>
      <c r="AP107" s="49">
        <f>AVERAGE(R107,AD107)</f>
        <v>4018.5</v>
      </c>
      <c r="AQ107" s="49"/>
      <c r="AR107" s="49"/>
      <c r="AS107" s="60">
        <f>AVERAGE(U107,AG107)</f>
        <v>294.5</v>
      </c>
      <c r="AT107" s="49"/>
      <c r="AU107" s="61"/>
      <c r="AV107" s="53">
        <f t="shared" ref="AV107:AY108" si="55">AVERAGE(X107,AJ107)</f>
        <v>4313</v>
      </c>
      <c r="AW107" s="53">
        <f t="shared" si="55"/>
        <v>0</v>
      </c>
      <c r="AX107" s="53">
        <f t="shared" si="55"/>
        <v>0</v>
      </c>
      <c r="AY107" s="60">
        <f t="shared" si="55"/>
        <v>261</v>
      </c>
      <c r="AZ107" s="49"/>
      <c r="BA107" s="61"/>
      <c r="BB107" s="54">
        <f t="shared" si="43"/>
        <v>21565</v>
      </c>
      <c r="BC107" s="54">
        <f t="shared" si="44"/>
        <v>4313</v>
      </c>
      <c r="BD107" s="62">
        <f t="shared" si="38"/>
        <v>1305</v>
      </c>
      <c r="BF107" s="330" t="s">
        <v>565</v>
      </c>
      <c r="BG107" s="330"/>
    </row>
    <row r="108" spans="1:61" s="56" customFormat="1">
      <c r="A108" s="57" t="s">
        <v>259</v>
      </c>
      <c r="B108" s="34" t="s">
        <v>132</v>
      </c>
      <c r="C108" s="34" t="s">
        <v>239</v>
      </c>
      <c r="D108" s="35" t="s">
        <v>240</v>
      </c>
      <c r="E108" s="58" t="s">
        <v>260</v>
      </c>
      <c r="F108" s="37">
        <v>148300</v>
      </c>
      <c r="G108" s="34" t="s">
        <v>68</v>
      </c>
      <c r="H108" s="34" t="s">
        <v>40</v>
      </c>
      <c r="I108" s="34">
        <v>10</v>
      </c>
      <c r="J108" s="34">
        <v>200</v>
      </c>
      <c r="K108" s="34">
        <f t="shared" si="37"/>
        <v>2000</v>
      </c>
      <c r="L108" s="38"/>
      <c r="M108" s="38" t="s">
        <v>42</v>
      </c>
      <c r="N108" s="34" t="s">
        <v>43</v>
      </c>
      <c r="O108" s="58" t="s">
        <v>44</v>
      </c>
      <c r="P108" s="39" t="s">
        <v>200</v>
      </c>
      <c r="Q108" s="59" t="s">
        <v>46</v>
      </c>
      <c r="R108" s="68">
        <f>44994-2058</f>
        <v>42936</v>
      </c>
      <c r="S108" s="44">
        <v>44535</v>
      </c>
      <c r="T108" s="69"/>
      <c r="U108" s="44">
        <f>2058+116</f>
        <v>2174</v>
      </c>
      <c r="V108" s="44">
        <v>111</v>
      </c>
      <c r="W108" s="44"/>
      <c r="X108" s="68">
        <f t="shared" si="54"/>
        <v>45110</v>
      </c>
      <c r="Y108" s="44">
        <f t="shared" si="54"/>
        <v>44646</v>
      </c>
      <c r="Z108" s="69"/>
      <c r="AA108" s="44"/>
      <c r="AB108" s="44"/>
      <c r="AC108" s="44"/>
      <c r="AD108" s="70">
        <v>36448</v>
      </c>
      <c r="AE108" s="48">
        <v>39739</v>
      </c>
      <c r="AF108" s="71"/>
      <c r="AG108" s="48">
        <v>4674</v>
      </c>
      <c r="AH108" s="48">
        <v>3840</v>
      </c>
      <c r="AI108" s="48"/>
      <c r="AJ108" s="70">
        <f t="shared" si="52"/>
        <v>41122</v>
      </c>
      <c r="AK108" s="48">
        <f t="shared" si="52"/>
        <v>43579</v>
      </c>
      <c r="AL108" s="71">
        <f t="shared" si="52"/>
        <v>0</v>
      </c>
      <c r="AM108" s="70">
        <v>6027</v>
      </c>
      <c r="AN108" s="48">
        <v>6907</v>
      </c>
      <c r="AO108" s="71"/>
      <c r="AP108" s="49">
        <f>AVERAGE(R108,AD108)</f>
        <v>39692</v>
      </c>
      <c r="AQ108" s="49">
        <f>AVERAGE(S108,AE108)</f>
        <v>42137</v>
      </c>
      <c r="AR108" s="49"/>
      <c r="AS108" s="60">
        <f>AVERAGE(U108,AG108)</f>
        <v>3424</v>
      </c>
      <c r="AT108" s="49">
        <f>AVERAGE(V108,AH108)</f>
        <v>1975.5</v>
      </c>
      <c r="AU108" s="61"/>
      <c r="AV108" s="53">
        <f t="shared" si="55"/>
        <v>43116</v>
      </c>
      <c r="AW108" s="53">
        <f t="shared" si="55"/>
        <v>44112.5</v>
      </c>
      <c r="AX108" s="53">
        <f t="shared" si="55"/>
        <v>0</v>
      </c>
      <c r="AY108" s="60">
        <f t="shared" si="55"/>
        <v>6027</v>
      </c>
      <c r="AZ108" s="49">
        <f>AVERAGE(AB108,AN108)</f>
        <v>6907</v>
      </c>
      <c r="BA108" s="61"/>
      <c r="BB108" s="54">
        <f t="shared" si="43"/>
        <v>259692.5</v>
      </c>
      <c r="BC108" s="54">
        <f t="shared" si="44"/>
        <v>43282.083333333336</v>
      </c>
      <c r="BD108" s="62">
        <f t="shared" si="38"/>
        <v>37042</v>
      </c>
      <c r="BF108" s="330"/>
      <c r="BG108" s="330"/>
    </row>
    <row r="109" spans="1:61" s="101" customFormat="1">
      <c r="A109" s="57" t="s">
        <v>261</v>
      </c>
      <c r="B109" s="34" t="s">
        <v>35</v>
      </c>
      <c r="C109" s="34" t="s">
        <v>36</v>
      </c>
      <c r="D109" s="35" t="s">
        <v>262</v>
      </c>
      <c r="E109" s="58" t="s">
        <v>263</v>
      </c>
      <c r="F109" s="37">
        <v>34421</v>
      </c>
      <c r="G109" s="34" t="s">
        <v>82</v>
      </c>
      <c r="H109" s="34" t="s">
        <v>40</v>
      </c>
      <c r="I109" s="34">
        <v>10</v>
      </c>
      <c r="J109" s="34">
        <v>301</v>
      </c>
      <c r="K109" s="34">
        <f t="shared" si="37"/>
        <v>3010</v>
      </c>
      <c r="L109" s="38"/>
      <c r="M109" s="38" t="s">
        <v>42</v>
      </c>
      <c r="N109" s="34" t="s">
        <v>64</v>
      </c>
      <c r="O109" s="58" t="s">
        <v>44</v>
      </c>
      <c r="P109" s="39" t="s">
        <v>147</v>
      </c>
      <c r="Q109" s="59" t="s">
        <v>114</v>
      </c>
      <c r="R109" s="68"/>
      <c r="S109" s="44"/>
      <c r="T109" s="69"/>
      <c r="U109" s="44"/>
      <c r="V109" s="44"/>
      <c r="W109" s="44"/>
      <c r="X109" s="68"/>
      <c r="Y109" s="44"/>
      <c r="Z109" s="69"/>
      <c r="AA109" s="44"/>
      <c r="AB109" s="44"/>
      <c r="AC109" s="44"/>
      <c r="AD109" s="70"/>
      <c r="AE109" s="48"/>
      <c r="AF109" s="71"/>
      <c r="AG109" s="48"/>
      <c r="AH109" s="48"/>
      <c r="AI109" s="48"/>
      <c r="AJ109" s="70">
        <f t="shared" si="52"/>
        <v>0</v>
      </c>
      <c r="AK109" s="48">
        <f t="shared" si="52"/>
        <v>0</v>
      </c>
      <c r="AL109" s="71">
        <f t="shared" si="52"/>
        <v>0</v>
      </c>
      <c r="AM109" s="70"/>
      <c r="AN109" s="48"/>
      <c r="AO109" s="71"/>
      <c r="AP109" s="49">
        <f>4388+85</f>
        <v>4473</v>
      </c>
      <c r="AQ109" s="49">
        <f>4388+85</f>
        <v>4473</v>
      </c>
      <c r="AR109" s="49"/>
      <c r="AS109" s="60">
        <v>3979</v>
      </c>
      <c r="AT109" s="49">
        <v>3979</v>
      </c>
      <c r="AU109" s="61"/>
      <c r="AV109" s="53">
        <f t="shared" ref="AV109:AX110" si="56">AP109+AS109</f>
        <v>8452</v>
      </c>
      <c r="AW109" s="53">
        <f t="shared" si="56"/>
        <v>8452</v>
      </c>
      <c r="AX109" s="53">
        <f t="shared" si="56"/>
        <v>0</v>
      </c>
      <c r="AY109" s="60">
        <f>85+3979</f>
        <v>4064</v>
      </c>
      <c r="AZ109" s="49">
        <f>85+3979</f>
        <v>4064</v>
      </c>
      <c r="BA109" s="61"/>
      <c r="BB109" s="54">
        <f t="shared" si="43"/>
        <v>50712</v>
      </c>
      <c r="BC109" s="54">
        <f t="shared" si="44"/>
        <v>8452</v>
      </c>
      <c r="BD109" s="62">
        <f t="shared" si="38"/>
        <v>24384</v>
      </c>
      <c r="BE109" s="56"/>
      <c r="BF109" s="330" t="s">
        <v>566</v>
      </c>
      <c r="BG109" s="330"/>
      <c r="BH109" s="56"/>
    </row>
    <row r="110" spans="1:61" s="73" customFormat="1">
      <c r="A110" s="88" t="s">
        <v>264</v>
      </c>
      <c r="B110" s="75" t="s">
        <v>35</v>
      </c>
      <c r="C110" s="75" t="s">
        <v>36</v>
      </c>
      <c r="D110" s="76" t="s">
        <v>262</v>
      </c>
      <c r="E110" s="77" t="s">
        <v>265</v>
      </c>
      <c r="F110" s="78">
        <v>42673</v>
      </c>
      <c r="G110" s="75" t="s">
        <v>82</v>
      </c>
      <c r="H110" s="75" t="s">
        <v>40</v>
      </c>
      <c r="I110" s="75">
        <v>6</v>
      </c>
      <c r="J110" s="75">
        <v>301</v>
      </c>
      <c r="K110" s="75">
        <f t="shared" si="37"/>
        <v>1806</v>
      </c>
      <c r="L110" s="79"/>
      <c r="M110" s="79" t="s">
        <v>42</v>
      </c>
      <c r="N110" s="75" t="s">
        <v>43</v>
      </c>
      <c r="O110" s="77" t="s">
        <v>44</v>
      </c>
      <c r="P110" s="80" t="s">
        <v>147</v>
      </c>
      <c r="Q110" s="81" t="s">
        <v>51</v>
      </c>
      <c r="R110" s="89"/>
      <c r="S110" s="90"/>
      <c r="T110" s="91"/>
      <c r="U110" s="90"/>
      <c r="V110" s="90"/>
      <c r="W110" s="90"/>
      <c r="X110" s="89"/>
      <c r="Y110" s="90"/>
      <c r="Z110" s="91"/>
      <c r="AA110" s="90"/>
      <c r="AB110" s="90"/>
      <c r="AC110" s="90"/>
      <c r="AD110" s="92"/>
      <c r="AE110" s="93"/>
      <c r="AF110" s="94"/>
      <c r="AG110" s="93"/>
      <c r="AH110" s="93"/>
      <c r="AI110" s="93"/>
      <c r="AJ110" s="92">
        <f t="shared" si="52"/>
        <v>0</v>
      </c>
      <c r="AK110" s="93">
        <f t="shared" si="52"/>
        <v>0</v>
      </c>
      <c r="AL110" s="94">
        <f t="shared" si="52"/>
        <v>0</v>
      </c>
      <c r="AM110" s="92"/>
      <c r="AN110" s="93"/>
      <c r="AO110" s="94"/>
      <c r="AP110" s="83">
        <v>5197</v>
      </c>
      <c r="AQ110" s="83">
        <v>5440</v>
      </c>
      <c r="AR110" s="83"/>
      <c r="AS110" s="82"/>
      <c r="AT110" s="83"/>
      <c r="AU110" s="84"/>
      <c r="AV110" s="85">
        <f t="shared" si="56"/>
        <v>5197</v>
      </c>
      <c r="AW110" s="85">
        <f t="shared" si="56"/>
        <v>5440</v>
      </c>
      <c r="AX110" s="85">
        <f t="shared" si="56"/>
        <v>0</v>
      </c>
      <c r="AY110" s="82"/>
      <c r="AZ110" s="83"/>
      <c r="BA110" s="84"/>
      <c r="BB110" s="86">
        <f t="shared" si="43"/>
        <v>31425</v>
      </c>
      <c r="BC110" s="86">
        <f t="shared" si="44"/>
        <v>5237.5</v>
      </c>
      <c r="BD110" s="87">
        <f t="shared" si="38"/>
        <v>0</v>
      </c>
      <c r="BF110" s="347" t="s">
        <v>567</v>
      </c>
      <c r="BG110" s="347"/>
    </row>
    <row r="111" spans="1:61" s="73" customFormat="1">
      <c r="A111" s="57" t="s">
        <v>266</v>
      </c>
      <c r="B111" s="34" t="s">
        <v>35</v>
      </c>
      <c r="C111" s="34" t="s">
        <v>36</v>
      </c>
      <c r="D111" s="35" t="s">
        <v>262</v>
      </c>
      <c r="E111" s="58" t="s">
        <v>267</v>
      </c>
      <c r="F111" s="37">
        <v>226300</v>
      </c>
      <c r="G111" s="34" t="s">
        <v>68</v>
      </c>
      <c r="H111" s="34" t="s">
        <v>40</v>
      </c>
      <c r="I111" s="34">
        <v>10</v>
      </c>
      <c r="J111" s="34">
        <v>300</v>
      </c>
      <c r="K111" s="34">
        <f t="shared" si="37"/>
        <v>3000</v>
      </c>
      <c r="L111" s="38" t="s">
        <v>41</v>
      </c>
      <c r="M111" s="38" t="s">
        <v>42</v>
      </c>
      <c r="N111" s="34" t="s">
        <v>43</v>
      </c>
      <c r="O111" s="58" t="s">
        <v>44</v>
      </c>
      <c r="P111" s="39" t="s">
        <v>45</v>
      </c>
      <c r="Q111" s="59" t="s">
        <v>46</v>
      </c>
      <c r="R111" s="68">
        <f>38355-792</f>
        <v>37563</v>
      </c>
      <c r="S111" s="44">
        <f>38774-761</f>
        <v>38013</v>
      </c>
      <c r="T111" s="69"/>
      <c r="U111" s="44">
        <f>792+728</f>
        <v>1520</v>
      </c>
      <c r="V111" s="44">
        <f>761+791</f>
        <v>1552</v>
      </c>
      <c r="W111" s="44"/>
      <c r="X111" s="68">
        <f>R111+U111</f>
        <v>39083</v>
      </c>
      <c r="Y111" s="44">
        <f>S111+V111</f>
        <v>39565</v>
      </c>
      <c r="Z111" s="69"/>
      <c r="AA111" s="44"/>
      <c r="AB111" s="44"/>
      <c r="AC111" s="44"/>
      <c r="AD111" s="70">
        <v>31708</v>
      </c>
      <c r="AE111" s="48">
        <v>34469</v>
      </c>
      <c r="AF111" s="71"/>
      <c r="AG111" s="48">
        <v>7724</v>
      </c>
      <c r="AH111" s="48">
        <v>5943</v>
      </c>
      <c r="AI111" s="48"/>
      <c r="AJ111" s="70">
        <f t="shared" si="52"/>
        <v>39432</v>
      </c>
      <c r="AK111" s="48">
        <f t="shared" si="52"/>
        <v>40412</v>
      </c>
      <c r="AL111" s="71">
        <f t="shared" si="52"/>
        <v>0</v>
      </c>
      <c r="AM111" s="70">
        <v>8083</v>
      </c>
      <c r="AN111" s="48">
        <v>6222</v>
      </c>
      <c r="AO111" s="71"/>
      <c r="AP111" s="49">
        <f>AVERAGE(R111,AD111)</f>
        <v>34635.5</v>
      </c>
      <c r="AQ111" s="49">
        <f>AVERAGE(S111,AE111)</f>
        <v>36241</v>
      </c>
      <c r="AR111" s="49"/>
      <c r="AS111" s="60">
        <f>AVERAGE(U111,AG111)</f>
        <v>4622</v>
      </c>
      <c r="AT111" s="49">
        <f>AVERAGE(V111,AH111)</f>
        <v>3747.5</v>
      </c>
      <c r="AU111" s="61"/>
      <c r="AV111" s="53">
        <f>AVERAGE(X111,AJ111)</f>
        <v>39257.5</v>
      </c>
      <c r="AW111" s="53">
        <f>AVERAGE(Y111,AK111)</f>
        <v>39988.5</v>
      </c>
      <c r="AX111" s="53">
        <f>AVERAGE(Z111,AL111)</f>
        <v>0</v>
      </c>
      <c r="AY111" s="60">
        <f>AVERAGE(AA111,AM111)</f>
        <v>8083</v>
      </c>
      <c r="AZ111" s="49">
        <f>AVERAGE(AB111,AN111)</f>
        <v>6222</v>
      </c>
      <c r="BA111" s="61"/>
      <c r="BB111" s="54">
        <f t="shared" si="43"/>
        <v>236276</v>
      </c>
      <c r="BC111" s="54">
        <f t="shared" si="44"/>
        <v>39379.333333333336</v>
      </c>
      <c r="BD111" s="62">
        <f t="shared" si="38"/>
        <v>46637</v>
      </c>
      <c r="BE111" s="74"/>
      <c r="BF111" s="341"/>
      <c r="BG111" s="341"/>
      <c r="BH111" s="74"/>
      <c r="BI111" s="56"/>
    </row>
    <row r="112" spans="1:61" s="73" customFormat="1">
      <c r="A112" s="57" t="s">
        <v>503</v>
      </c>
      <c r="B112" s="34" t="s">
        <v>35</v>
      </c>
      <c r="C112" s="34" t="s">
        <v>36</v>
      </c>
      <c r="D112" s="35" t="s">
        <v>262</v>
      </c>
      <c r="E112" s="58" t="s">
        <v>267</v>
      </c>
      <c r="F112" s="37">
        <v>226300</v>
      </c>
      <c r="G112" s="34" t="s">
        <v>68</v>
      </c>
      <c r="H112" s="34" t="s">
        <v>47</v>
      </c>
      <c r="I112" s="34">
        <v>6</v>
      </c>
      <c r="J112" s="34">
        <v>175</v>
      </c>
      <c r="K112" s="34">
        <f t="shared" si="37"/>
        <v>1050</v>
      </c>
      <c r="L112" s="34"/>
      <c r="M112" s="34" t="s">
        <v>53</v>
      </c>
      <c r="N112" s="34" t="s">
        <v>43</v>
      </c>
      <c r="O112" s="58" t="s">
        <v>54</v>
      </c>
      <c r="P112" s="39" t="s">
        <v>55</v>
      </c>
      <c r="Q112" s="59" t="s">
        <v>51</v>
      </c>
      <c r="R112" s="283"/>
      <c r="S112" s="284"/>
      <c r="T112" s="285"/>
      <c r="U112" s="284"/>
      <c r="V112" s="284"/>
      <c r="W112" s="284"/>
      <c r="X112" s="283"/>
      <c r="Y112" s="284"/>
      <c r="Z112" s="285"/>
      <c r="AA112" s="284"/>
      <c r="AB112" s="284"/>
      <c r="AC112" s="284"/>
      <c r="AD112" s="286"/>
      <c r="AE112" s="287"/>
      <c r="AF112" s="288"/>
      <c r="AG112" s="287"/>
      <c r="AH112" s="287"/>
      <c r="AI112" s="287"/>
      <c r="AJ112" s="286"/>
      <c r="AK112" s="287"/>
      <c r="AL112" s="288"/>
      <c r="AM112" s="286"/>
      <c r="AN112" s="287"/>
      <c r="AO112" s="288"/>
      <c r="AP112" s="34"/>
      <c r="AQ112" s="34"/>
      <c r="AR112" s="34"/>
      <c r="AS112" s="60">
        <v>21316</v>
      </c>
      <c r="AT112" s="49"/>
      <c r="AU112" s="61"/>
      <c r="AV112" s="53">
        <f>AP112+AS112</f>
        <v>21316</v>
      </c>
      <c r="AW112" s="53">
        <f>AQ112+AT112</f>
        <v>0</v>
      </c>
      <c r="AX112" s="53"/>
      <c r="AY112" s="35"/>
      <c r="AZ112" s="34"/>
      <c r="BA112" s="64"/>
      <c r="BB112" s="54">
        <f t="shared" si="43"/>
        <v>106580</v>
      </c>
      <c r="BC112" s="54">
        <f t="shared" si="44"/>
        <v>21316</v>
      </c>
      <c r="BD112" s="62">
        <f t="shared" si="38"/>
        <v>0</v>
      </c>
      <c r="BE112" s="387"/>
      <c r="BF112" s="330"/>
      <c r="BG112" s="106">
        <v>2012</v>
      </c>
      <c r="BH112" s="72"/>
      <c r="BI112" s="56"/>
    </row>
    <row r="113" spans="1:61" s="56" customFormat="1">
      <c r="A113" s="57" t="s">
        <v>268</v>
      </c>
      <c r="B113" s="34" t="s">
        <v>35</v>
      </c>
      <c r="C113" s="34" t="s">
        <v>36</v>
      </c>
      <c r="D113" s="35" t="s">
        <v>262</v>
      </c>
      <c r="E113" s="58" t="s">
        <v>269</v>
      </c>
      <c r="F113" s="37">
        <v>284000</v>
      </c>
      <c r="G113" s="34" t="s">
        <v>68</v>
      </c>
      <c r="H113" s="34" t="s">
        <v>40</v>
      </c>
      <c r="I113" s="34">
        <v>10</v>
      </c>
      <c r="J113" s="34">
        <v>293</v>
      </c>
      <c r="K113" s="34">
        <f t="shared" si="37"/>
        <v>2930</v>
      </c>
      <c r="L113" s="38" t="s">
        <v>41</v>
      </c>
      <c r="M113" s="38" t="s">
        <v>42</v>
      </c>
      <c r="N113" s="34" t="s">
        <v>43</v>
      </c>
      <c r="O113" s="58" t="s">
        <v>44</v>
      </c>
      <c r="P113" s="39" t="s">
        <v>45</v>
      </c>
      <c r="Q113" s="59" t="s">
        <v>46</v>
      </c>
      <c r="R113" s="68">
        <f>44133-823</f>
        <v>43310</v>
      </c>
      <c r="S113" s="44">
        <f>42893-682</f>
        <v>42211</v>
      </c>
      <c r="T113" s="69"/>
      <c r="U113" s="44">
        <f>823+328</f>
        <v>1151</v>
      </c>
      <c r="V113" s="44">
        <f>682+399</f>
        <v>1081</v>
      </c>
      <c r="W113" s="44"/>
      <c r="X113" s="68">
        <f>R113+U113</f>
        <v>44461</v>
      </c>
      <c r="Y113" s="44">
        <f>S113+V113</f>
        <v>43292</v>
      </c>
      <c r="Z113" s="69"/>
      <c r="AA113" s="44"/>
      <c r="AB113" s="44"/>
      <c r="AC113" s="44"/>
      <c r="AD113" s="70">
        <v>36958</v>
      </c>
      <c r="AE113" s="48">
        <v>40658</v>
      </c>
      <c r="AF113" s="71"/>
      <c r="AG113" s="48">
        <v>8471</v>
      </c>
      <c r="AH113" s="48">
        <v>5483</v>
      </c>
      <c r="AI113" s="48"/>
      <c r="AJ113" s="70">
        <f>AD113+AG113</f>
        <v>45429</v>
      </c>
      <c r="AK113" s="48">
        <f>AE113+AH113</f>
        <v>46141</v>
      </c>
      <c r="AL113" s="71">
        <f>AF113+AI113</f>
        <v>0</v>
      </c>
      <c r="AM113" s="70">
        <v>8178</v>
      </c>
      <c r="AN113" s="48">
        <v>5283</v>
      </c>
      <c r="AO113" s="71"/>
      <c r="AP113" s="49">
        <f>AVERAGE(R113,AD113)</f>
        <v>40134</v>
      </c>
      <c r="AQ113" s="49">
        <f>AVERAGE(S113,AE113)</f>
        <v>41434.5</v>
      </c>
      <c r="AR113" s="49"/>
      <c r="AS113" s="60">
        <f>AVERAGE(U113,AG113)</f>
        <v>4811</v>
      </c>
      <c r="AT113" s="49">
        <f>AVERAGE(V113,AH113)</f>
        <v>3282</v>
      </c>
      <c r="AU113" s="61"/>
      <c r="AV113" s="53">
        <f>AVERAGE(X113,AJ113)</f>
        <v>44945</v>
      </c>
      <c r="AW113" s="53">
        <f>AVERAGE(Y113,AK113)</f>
        <v>44716.5</v>
      </c>
      <c r="AX113" s="53">
        <f>AVERAGE(Z113,AL113)</f>
        <v>0</v>
      </c>
      <c r="AY113" s="60">
        <f>AVERAGE(AA113,AM113)</f>
        <v>8178</v>
      </c>
      <c r="AZ113" s="49">
        <f>AVERAGE(AB113,AN113)</f>
        <v>5283</v>
      </c>
      <c r="BA113" s="61"/>
      <c r="BB113" s="54">
        <f t="shared" si="43"/>
        <v>269441.5</v>
      </c>
      <c r="BC113" s="54">
        <f t="shared" si="44"/>
        <v>44906.916666666664</v>
      </c>
      <c r="BD113" s="62">
        <f t="shared" si="38"/>
        <v>46173</v>
      </c>
      <c r="BE113" s="74"/>
      <c r="BF113" s="341"/>
      <c r="BG113" s="341"/>
      <c r="BH113" s="74"/>
      <c r="BI113" s="63"/>
    </row>
    <row r="114" spans="1:61" s="56" customFormat="1">
      <c r="A114" s="57" t="s">
        <v>504</v>
      </c>
      <c r="B114" s="34" t="s">
        <v>35</v>
      </c>
      <c r="C114" s="34" t="s">
        <v>36</v>
      </c>
      <c r="D114" s="35" t="s">
        <v>262</v>
      </c>
      <c r="E114" s="58" t="s">
        <v>269</v>
      </c>
      <c r="F114" s="37">
        <v>284000</v>
      </c>
      <c r="G114" s="34" t="s">
        <v>68</v>
      </c>
      <c r="H114" s="34" t="s">
        <v>47</v>
      </c>
      <c r="I114" s="34">
        <v>6</v>
      </c>
      <c r="J114" s="34">
        <v>175</v>
      </c>
      <c r="K114" s="34">
        <f t="shared" si="37"/>
        <v>1050</v>
      </c>
      <c r="L114" s="34"/>
      <c r="M114" s="34" t="s">
        <v>53</v>
      </c>
      <c r="N114" s="34" t="s">
        <v>43</v>
      </c>
      <c r="O114" s="58" t="s">
        <v>54</v>
      </c>
      <c r="P114" s="39" t="s">
        <v>55</v>
      </c>
      <c r="Q114" s="59" t="s">
        <v>51</v>
      </c>
      <c r="R114" s="283"/>
      <c r="S114" s="284"/>
      <c r="T114" s="285"/>
      <c r="U114" s="284"/>
      <c r="V114" s="284"/>
      <c r="W114" s="284"/>
      <c r="X114" s="283"/>
      <c r="Y114" s="284"/>
      <c r="Z114" s="285"/>
      <c r="AA114" s="284"/>
      <c r="AB114" s="284"/>
      <c r="AC114" s="284"/>
      <c r="AD114" s="286"/>
      <c r="AE114" s="287"/>
      <c r="AF114" s="288"/>
      <c r="AG114" s="287"/>
      <c r="AH114" s="287"/>
      <c r="AI114" s="287"/>
      <c r="AJ114" s="286"/>
      <c r="AK114" s="287"/>
      <c r="AL114" s="288"/>
      <c r="AM114" s="286"/>
      <c r="AN114" s="287"/>
      <c r="AO114" s="288"/>
      <c r="AP114" s="34"/>
      <c r="AQ114" s="34"/>
      <c r="AR114" s="34"/>
      <c r="AS114" s="60">
        <v>19602</v>
      </c>
      <c r="AT114" s="34"/>
      <c r="AU114" s="64"/>
      <c r="AV114" s="53">
        <f>AP114+AS114</f>
        <v>19602</v>
      </c>
      <c r="AW114" s="53">
        <f>AQ114+AT114</f>
        <v>0</v>
      </c>
      <c r="AX114" s="53"/>
      <c r="AY114" s="35"/>
      <c r="AZ114" s="34"/>
      <c r="BA114" s="64"/>
      <c r="BB114" s="54">
        <f t="shared" si="43"/>
        <v>98010</v>
      </c>
      <c r="BC114" s="54">
        <f t="shared" si="44"/>
        <v>19602</v>
      </c>
      <c r="BD114" s="62">
        <f t="shared" si="38"/>
        <v>0</v>
      </c>
      <c r="BE114" s="387"/>
      <c r="BF114" s="330"/>
      <c r="BG114" s="106">
        <v>2012</v>
      </c>
      <c r="BH114" s="72"/>
    </row>
    <row r="115" spans="1:61" s="101" customFormat="1" ht="15.75" thickBot="1">
      <c r="A115" s="107" t="s">
        <v>270</v>
      </c>
      <c r="B115" s="108" t="s">
        <v>35</v>
      </c>
      <c r="C115" s="108" t="s">
        <v>79</v>
      </c>
      <c r="D115" s="109" t="s">
        <v>271</v>
      </c>
      <c r="E115" s="110" t="s">
        <v>272</v>
      </c>
      <c r="F115" s="111">
        <v>26028</v>
      </c>
      <c r="G115" s="108" t="s">
        <v>82</v>
      </c>
      <c r="H115" s="108" t="s">
        <v>47</v>
      </c>
      <c r="I115" s="108">
        <v>5</v>
      </c>
      <c r="J115" s="108">
        <v>190</v>
      </c>
      <c r="K115" s="108">
        <f t="shared" si="37"/>
        <v>950</v>
      </c>
      <c r="L115" s="112" t="s">
        <v>273</v>
      </c>
      <c r="M115" s="38" t="s">
        <v>42</v>
      </c>
      <c r="N115" s="108" t="s">
        <v>64</v>
      </c>
      <c r="O115" s="110" t="s">
        <v>54</v>
      </c>
      <c r="P115" s="39" t="s">
        <v>113</v>
      </c>
      <c r="Q115" s="113" t="s">
        <v>46</v>
      </c>
      <c r="R115" s="114">
        <v>1564</v>
      </c>
      <c r="S115" s="115"/>
      <c r="T115" s="116"/>
      <c r="U115" s="44">
        <v>399</v>
      </c>
      <c r="V115" s="44"/>
      <c r="W115" s="44"/>
      <c r="X115" s="68">
        <f>R115+U115</f>
        <v>1963</v>
      </c>
      <c r="Y115" s="44">
        <f>S115+V115</f>
        <v>0</v>
      </c>
      <c r="Z115" s="69"/>
      <c r="AA115" s="44"/>
      <c r="AB115" s="44"/>
      <c r="AC115" s="44"/>
      <c r="AD115" s="117">
        <v>1455</v>
      </c>
      <c r="AE115" s="118"/>
      <c r="AF115" s="119"/>
      <c r="AG115" s="48">
        <v>433</v>
      </c>
      <c r="AH115" s="48"/>
      <c r="AI115" s="48"/>
      <c r="AJ115" s="117">
        <f>AD115+AG115</f>
        <v>1888</v>
      </c>
      <c r="AK115" s="118">
        <f>AE115+AH115</f>
        <v>0</v>
      </c>
      <c r="AL115" s="119">
        <f>AF115+AI115</f>
        <v>0</v>
      </c>
      <c r="AM115" s="117"/>
      <c r="AN115" s="118"/>
      <c r="AO115" s="119"/>
      <c r="AP115" s="49">
        <f>AVERAGE(R115,AD115)</f>
        <v>1509.5</v>
      </c>
      <c r="AQ115" s="49"/>
      <c r="AR115" s="49"/>
      <c r="AS115" s="120">
        <f>AVERAGE(U115,AG115)</f>
        <v>416</v>
      </c>
      <c r="AT115" s="121"/>
      <c r="AU115" s="122"/>
      <c r="AV115" s="123">
        <f>AVERAGE(X115,AJ115)</f>
        <v>1925.5</v>
      </c>
      <c r="AW115" s="123">
        <f>AVERAGE(Y115,AK115)</f>
        <v>0</v>
      </c>
      <c r="AX115" s="123">
        <f>AVERAGE(Z115,AL115)</f>
        <v>0</v>
      </c>
      <c r="AY115" s="120"/>
      <c r="AZ115" s="121"/>
      <c r="BA115" s="122"/>
      <c r="BB115" s="124">
        <f t="shared" si="43"/>
        <v>9627.5</v>
      </c>
      <c r="BC115" s="124">
        <f t="shared" si="44"/>
        <v>1925.5</v>
      </c>
      <c r="BD115" s="298">
        <f t="shared" si="38"/>
        <v>0</v>
      </c>
      <c r="BE115" s="56"/>
      <c r="BF115" s="367"/>
      <c r="BG115" s="367"/>
      <c r="BH115" s="56"/>
      <c r="BI115" s="56"/>
    </row>
    <row r="116" spans="1:61" s="146" customFormat="1" ht="15.75" thickBot="1">
      <c r="A116" s="125" t="s">
        <v>274</v>
      </c>
      <c r="B116" s="126"/>
      <c r="C116" s="126"/>
      <c r="D116" s="389">
        <f>COUNTA(A96:A115)+COUNTA(A4:A95)</f>
        <v>112</v>
      </c>
      <c r="E116" s="127"/>
      <c r="F116" s="128"/>
      <c r="G116" s="126"/>
      <c r="H116" s="129"/>
      <c r="I116" s="129"/>
      <c r="J116" s="129"/>
      <c r="K116" s="129"/>
      <c r="L116" s="126">
        <f>COUNTA(L96:L115)+COUNTA(L4:L95)</f>
        <v>33</v>
      </c>
      <c r="M116" s="126"/>
      <c r="N116" s="126"/>
      <c r="O116" s="299"/>
      <c r="P116" s="130"/>
      <c r="Q116" s="131"/>
      <c r="R116" s="132"/>
      <c r="S116" s="132"/>
      <c r="T116" s="132"/>
      <c r="U116" s="133"/>
      <c r="V116" s="132"/>
      <c r="W116" s="134"/>
      <c r="X116" s="133"/>
      <c r="Y116" s="132"/>
      <c r="Z116" s="134"/>
      <c r="AA116" s="132"/>
      <c r="AB116" s="132"/>
      <c r="AC116" s="132"/>
      <c r="AD116" s="135"/>
      <c r="AE116" s="136"/>
      <c r="AF116" s="137"/>
      <c r="AG116" s="136"/>
      <c r="AH116" s="136"/>
      <c r="AI116" s="136"/>
      <c r="AJ116" s="135"/>
      <c r="AK116" s="136"/>
      <c r="AL116" s="137"/>
      <c r="AM116" s="135"/>
      <c r="AN116" s="136"/>
      <c r="AO116" s="137"/>
      <c r="AP116" s="138">
        <f>SUM(AP4:AP115)</f>
        <v>3105518.1</v>
      </c>
      <c r="AQ116" s="138">
        <f t="shared" ref="AQ116:BA116" si="57">SUM(AQ4:AQ115)</f>
        <v>3402167.5</v>
      </c>
      <c r="AR116" s="138">
        <f t="shared" si="57"/>
        <v>1098199</v>
      </c>
      <c r="AS116" s="139">
        <f t="shared" si="57"/>
        <v>2518483.2999999998</v>
      </c>
      <c r="AT116" s="138">
        <f t="shared" si="57"/>
        <v>912603</v>
      </c>
      <c r="AU116" s="140">
        <f>(SUM(AU4:AU115))-(AU78+AU73+AU55+AU50+AU25+AU21+AU15)</f>
        <v>457383.5</v>
      </c>
      <c r="AV116" s="141">
        <f t="shared" si="57"/>
        <v>5623960.4000000004</v>
      </c>
      <c r="AW116" s="142">
        <f t="shared" si="57"/>
        <v>4314729.5</v>
      </c>
      <c r="AX116" s="143">
        <f>(SUM(AX4:AX115))-(AX78+AX73+AX55+AX50+AX25+AX21+AX15)</f>
        <v>1513576</v>
      </c>
      <c r="AY116" s="138">
        <f t="shared" si="57"/>
        <v>946160.6</v>
      </c>
      <c r="AZ116" s="138">
        <f t="shared" si="57"/>
        <v>827311.5</v>
      </c>
      <c r="BA116" s="138">
        <f t="shared" si="57"/>
        <v>306687</v>
      </c>
      <c r="BB116" s="144">
        <f>SUM(BB4:BB115)</f>
        <v>34101802</v>
      </c>
      <c r="BC116" s="145">
        <f>SUM(BC4:BC115)</f>
        <v>5716635.8940476179</v>
      </c>
      <c r="BD116" s="145">
        <f>SUM(BD4:BD115)</f>
        <v>5862719.5</v>
      </c>
      <c r="BE116" s="368"/>
      <c r="BF116" s="369"/>
      <c r="BI116" s="146">
        <f>BC116/D116</f>
        <v>51041.391911139443</v>
      </c>
    </row>
    <row r="117" spans="1:61" s="153" customFormat="1">
      <c r="A117" s="147"/>
      <c r="B117" s="148"/>
      <c r="C117" s="148"/>
      <c r="D117" s="148"/>
      <c r="E117" s="149"/>
      <c r="F117" s="150"/>
      <c r="G117" s="148"/>
      <c r="H117" s="151"/>
      <c r="I117" s="151"/>
      <c r="J117" s="151"/>
      <c r="K117" s="151"/>
      <c r="L117" s="148"/>
      <c r="M117" s="148"/>
      <c r="N117" s="148"/>
      <c r="O117" s="149"/>
      <c r="P117" s="149"/>
      <c r="Q117" s="148"/>
      <c r="R117" s="148"/>
      <c r="S117" s="148"/>
      <c r="T117" s="148"/>
      <c r="U117" s="148"/>
      <c r="V117" s="148"/>
      <c r="W117" s="148"/>
      <c r="X117" s="148"/>
      <c r="Y117" s="148"/>
      <c r="Z117" s="148"/>
      <c r="AA117" s="148"/>
      <c r="AB117" s="148"/>
      <c r="AC117" s="148"/>
      <c r="AD117" s="148"/>
      <c r="AE117" s="148"/>
      <c r="AF117" s="148"/>
      <c r="AG117" s="148"/>
      <c r="AH117" s="148"/>
      <c r="AI117" s="148"/>
      <c r="AJ117" s="148"/>
      <c r="AK117" s="148"/>
      <c r="AL117" s="148"/>
      <c r="AM117" s="148"/>
      <c r="AN117" s="148"/>
      <c r="AO117" s="148"/>
      <c r="AP117" s="148"/>
      <c r="AQ117" s="148"/>
      <c r="AR117" s="148"/>
      <c r="AS117" s="148"/>
      <c r="AT117" s="148"/>
      <c r="AU117" s="148"/>
      <c r="AV117" s="148"/>
      <c r="AW117" s="148"/>
      <c r="AX117" s="148"/>
      <c r="AY117" s="148"/>
      <c r="AZ117" s="148"/>
      <c r="BA117" s="148"/>
      <c r="BB117" s="152"/>
      <c r="BC117" s="152"/>
      <c r="BD117" s="152"/>
      <c r="BE117" s="370"/>
    </row>
    <row r="118" spans="1:61" s="153" customFormat="1">
      <c r="A118" s="147"/>
      <c r="B118" s="148"/>
      <c r="C118" s="148"/>
      <c r="D118" s="148"/>
      <c r="E118" s="149"/>
      <c r="F118" s="150"/>
      <c r="G118" s="148"/>
      <c r="H118" s="151"/>
      <c r="I118" s="151"/>
      <c r="J118" s="151"/>
      <c r="K118" s="151"/>
      <c r="L118" s="148"/>
      <c r="M118" s="148"/>
      <c r="N118" s="148"/>
      <c r="O118" s="149"/>
      <c r="P118" s="149"/>
      <c r="Q118" s="148"/>
      <c r="R118" s="148"/>
      <c r="S118" s="148"/>
      <c r="T118" s="148"/>
      <c r="U118" s="148"/>
      <c r="V118" s="148"/>
      <c r="W118" s="148"/>
      <c r="X118" s="148"/>
      <c r="Y118" s="148"/>
      <c r="Z118" s="148"/>
      <c r="AA118" s="148"/>
      <c r="AB118" s="148"/>
      <c r="AC118" s="148"/>
      <c r="AD118" s="148"/>
      <c r="AE118" s="148"/>
      <c r="AF118" s="148"/>
      <c r="AG118" s="148"/>
      <c r="AH118" s="148"/>
      <c r="AI118" s="148"/>
      <c r="AJ118" s="148"/>
      <c r="AK118" s="148"/>
      <c r="AL118" s="148"/>
      <c r="AM118" s="148"/>
      <c r="AN118" s="148"/>
      <c r="AO118" s="148"/>
      <c r="AP118" s="148"/>
      <c r="AQ118" s="148"/>
      <c r="AR118" s="148"/>
      <c r="AS118" s="148"/>
      <c r="AT118" s="148"/>
      <c r="AU118" s="148"/>
      <c r="AV118" s="148"/>
      <c r="AW118" s="148"/>
      <c r="AX118" s="148"/>
      <c r="AY118" s="148"/>
      <c r="AZ118" s="148"/>
      <c r="BA118" s="148"/>
      <c r="BB118" s="152"/>
      <c r="BC118" s="152"/>
      <c r="BD118" s="152"/>
      <c r="BE118" s="370"/>
    </row>
    <row r="119" spans="1:61" s="153" customFormat="1" ht="15.75">
      <c r="A119" s="154" t="s">
        <v>275</v>
      </c>
      <c r="B119" s="155"/>
      <c r="C119" s="155"/>
      <c r="D119" s="155"/>
      <c r="E119" s="155"/>
      <c r="F119" s="157"/>
      <c r="G119" s="155"/>
      <c r="H119" s="155"/>
      <c r="I119" s="155"/>
      <c r="J119" s="155"/>
      <c r="K119" s="155"/>
      <c r="L119" s="155"/>
      <c r="M119" s="155"/>
      <c r="N119" s="155"/>
      <c r="O119" s="155"/>
      <c r="P119" s="155"/>
      <c r="Q119" s="155"/>
      <c r="R119" s="155"/>
      <c r="S119" s="155"/>
      <c r="T119" s="155"/>
      <c r="U119" s="155"/>
      <c r="V119" s="155"/>
      <c r="W119" s="155"/>
      <c r="X119" s="155"/>
      <c r="Y119" s="155"/>
      <c r="Z119" s="155"/>
      <c r="AA119" s="155"/>
      <c r="AB119" s="155"/>
      <c r="AC119" s="155"/>
      <c r="AD119" s="155"/>
      <c r="AE119" s="155"/>
      <c r="AF119" s="155"/>
      <c r="AG119" s="155"/>
      <c r="AH119" s="155"/>
      <c r="AI119" s="155"/>
      <c r="AJ119" s="155"/>
      <c r="AK119" s="155"/>
      <c r="AL119" s="155"/>
      <c r="AM119" s="155"/>
      <c r="AN119" s="155"/>
      <c r="AO119" s="155"/>
      <c r="AP119" s="155"/>
      <c r="AQ119" s="155"/>
      <c r="AR119" s="155"/>
      <c r="AS119" s="155"/>
      <c r="AT119" s="155"/>
      <c r="AU119" s="155"/>
      <c r="AV119" s="155"/>
      <c r="AW119" s="155"/>
      <c r="AX119" s="155"/>
      <c r="AY119" s="155"/>
      <c r="AZ119" s="155"/>
      <c r="BA119" s="155"/>
      <c r="BB119" s="155"/>
      <c r="BC119" s="155"/>
      <c r="BD119" s="155"/>
      <c r="BE119" s="370"/>
    </row>
    <row r="120" spans="1:61" s="166" customFormat="1" ht="15.75">
      <c r="A120" s="158" t="s">
        <v>276</v>
      </c>
      <c r="B120" s="159"/>
      <c r="C120" s="159"/>
      <c r="D120" s="160"/>
      <c r="E120" s="161"/>
      <c r="F120" s="162"/>
      <c r="G120" s="160"/>
      <c r="H120" s="159"/>
      <c r="I120" s="159"/>
      <c r="J120" s="159"/>
      <c r="K120" s="159"/>
      <c r="L120" s="159"/>
      <c r="M120" s="159"/>
      <c r="N120" s="159"/>
      <c r="O120" s="163"/>
      <c r="P120" s="163"/>
      <c r="Q120" s="159"/>
      <c r="R120" s="159"/>
      <c r="S120" s="159"/>
      <c r="T120" s="159"/>
      <c r="U120" s="159"/>
      <c r="V120" s="159"/>
      <c r="W120" s="159"/>
      <c r="X120" s="159"/>
      <c r="Y120" s="159"/>
      <c r="Z120" s="159"/>
      <c r="AA120" s="159"/>
      <c r="AB120" s="159"/>
      <c r="AC120" s="159"/>
      <c r="AD120" s="159"/>
      <c r="AE120" s="159"/>
      <c r="AF120" s="159"/>
      <c r="AG120" s="159"/>
      <c r="AH120" s="159"/>
      <c r="AI120" s="159"/>
      <c r="AJ120" s="159"/>
      <c r="AK120" s="159"/>
      <c r="AL120" s="159"/>
      <c r="AM120" s="159"/>
      <c r="AN120" s="159"/>
      <c r="AO120" s="159"/>
      <c r="AP120" s="159"/>
      <c r="AQ120" s="159"/>
      <c r="AR120" s="159"/>
      <c r="AS120" s="159"/>
      <c r="AT120" s="159"/>
      <c r="AU120" s="159"/>
      <c r="AV120" s="159"/>
      <c r="AW120" s="159"/>
      <c r="AX120" s="159"/>
      <c r="AY120" s="159"/>
      <c r="AZ120" s="159"/>
      <c r="BA120" s="159"/>
      <c r="BB120" s="164"/>
      <c r="BC120" s="164"/>
      <c r="BD120" s="164"/>
      <c r="BE120" s="373"/>
      <c r="BF120" s="165"/>
      <c r="BG120" s="165"/>
      <c r="BH120" s="165"/>
    </row>
    <row r="121" spans="1:61" s="167" customFormat="1" ht="15.75">
      <c r="A121" s="158" t="s">
        <v>277</v>
      </c>
      <c r="F121" s="169"/>
      <c r="G121" s="168"/>
      <c r="I121" s="168"/>
    </row>
    <row r="122" spans="1:61" s="167" customFormat="1" ht="15.75">
      <c r="A122" s="158" t="s">
        <v>505</v>
      </c>
      <c r="F122" s="169"/>
      <c r="G122" s="168"/>
      <c r="I122" s="168"/>
    </row>
    <row r="123" spans="1:61" s="167" customFormat="1" ht="15.75">
      <c r="A123" s="158" t="s">
        <v>506</v>
      </c>
      <c r="F123" s="169"/>
      <c r="G123" s="168"/>
      <c r="I123" s="168"/>
    </row>
    <row r="124" spans="1:61" s="167" customFormat="1" ht="15.75">
      <c r="A124" s="158" t="s">
        <v>507</v>
      </c>
      <c r="F124" s="169"/>
      <c r="G124" s="168"/>
      <c r="I124" s="168"/>
    </row>
    <row r="125" spans="1:61" s="167" customFormat="1" ht="15.75">
      <c r="A125" s="158" t="s">
        <v>282</v>
      </c>
      <c r="F125" s="169"/>
      <c r="G125" s="168"/>
      <c r="I125" s="168"/>
    </row>
    <row r="126" spans="1:61" s="167" customFormat="1" ht="15.75">
      <c r="A126" s="158" t="s">
        <v>283</v>
      </c>
      <c r="F126" s="169"/>
      <c r="G126" s="168"/>
      <c r="I126" s="168"/>
    </row>
    <row r="127" spans="1:61" s="167" customFormat="1" ht="15.75">
      <c r="A127" s="158"/>
      <c r="F127" s="169"/>
      <c r="G127" s="168"/>
      <c r="I127" s="168"/>
    </row>
    <row r="128" spans="1:61" s="307" customFormat="1" ht="15.75">
      <c r="A128" s="300" t="s">
        <v>508</v>
      </c>
      <c r="B128" s="301"/>
      <c r="C128" s="301"/>
      <c r="D128" s="301"/>
      <c r="E128" s="197"/>
      <c r="F128" s="198"/>
      <c r="G128" s="196"/>
      <c r="H128" s="302"/>
      <c r="I128" s="303"/>
      <c r="J128" s="302"/>
      <c r="K128" s="302"/>
      <c r="L128" s="302"/>
      <c r="M128" s="302"/>
      <c r="N128" s="304"/>
      <c r="O128" s="305"/>
      <c r="P128" s="305"/>
      <c r="Q128" s="304"/>
      <c r="R128" s="304"/>
      <c r="S128" s="304"/>
      <c r="T128" s="304"/>
      <c r="U128" s="304"/>
      <c r="V128" s="304"/>
      <c r="W128" s="304"/>
      <c r="X128" s="304"/>
      <c r="Y128" s="304"/>
      <c r="Z128" s="304"/>
      <c r="AA128" s="304"/>
      <c r="AB128" s="304"/>
      <c r="AC128" s="304"/>
      <c r="AD128" s="304"/>
      <c r="AE128" s="304"/>
      <c r="AF128" s="304"/>
      <c r="AG128" s="304"/>
      <c r="AH128" s="304"/>
      <c r="AI128" s="304"/>
      <c r="AJ128" s="304"/>
      <c r="AK128" s="304"/>
      <c r="AL128" s="304"/>
      <c r="AM128" s="304"/>
      <c r="AN128" s="304"/>
      <c r="AO128" s="304"/>
      <c r="AP128" s="304"/>
      <c r="AQ128" s="304"/>
      <c r="AR128" s="304"/>
      <c r="AS128" s="304"/>
      <c r="AT128" s="304"/>
      <c r="AU128" s="304"/>
      <c r="AV128" s="304"/>
      <c r="AW128" s="304"/>
      <c r="AX128" s="304"/>
      <c r="AY128" s="304"/>
      <c r="AZ128" s="304"/>
      <c r="BA128" s="304"/>
      <c r="BB128" s="306"/>
      <c r="BC128" s="306"/>
      <c r="BD128" s="306"/>
      <c r="BE128" s="404"/>
      <c r="BF128" s="404"/>
      <c r="BG128" s="404"/>
      <c r="BH128" s="404"/>
    </row>
    <row r="129" spans="1:60" s="307" customFormat="1" ht="15.75">
      <c r="A129" s="158" t="s">
        <v>509</v>
      </c>
      <c r="B129" s="301"/>
      <c r="C129" s="301"/>
      <c r="D129" s="301"/>
      <c r="E129" s="197"/>
      <c r="F129" s="198"/>
      <c r="G129" s="196"/>
      <c r="H129" s="302"/>
      <c r="I129" s="303"/>
      <c r="J129" s="302"/>
      <c r="K129" s="302"/>
      <c r="L129" s="302"/>
      <c r="M129" s="302"/>
      <c r="N129" s="304"/>
      <c r="O129" s="305"/>
      <c r="P129" s="305"/>
      <c r="Q129" s="304"/>
      <c r="R129" s="304"/>
      <c r="S129" s="304"/>
      <c r="T129" s="304"/>
      <c r="U129" s="304"/>
      <c r="V129" s="304"/>
      <c r="W129" s="304"/>
      <c r="X129" s="304"/>
      <c r="Y129" s="304"/>
      <c r="Z129" s="304"/>
      <c r="AA129" s="304"/>
      <c r="AB129" s="304"/>
      <c r="AC129" s="304"/>
      <c r="AD129" s="304"/>
      <c r="AE129" s="304"/>
      <c r="AF129" s="304"/>
      <c r="AG129" s="304"/>
      <c r="AH129" s="304"/>
      <c r="AI129" s="304"/>
      <c r="AJ129" s="304"/>
      <c r="AK129" s="304"/>
      <c r="AL129" s="304"/>
      <c r="AM129" s="304"/>
      <c r="AN129" s="304"/>
      <c r="AO129" s="304"/>
      <c r="AP129" s="304"/>
      <c r="AQ129" s="304"/>
      <c r="AR129" s="304"/>
      <c r="AS129" s="304"/>
      <c r="AT129" s="304"/>
      <c r="AU129" s="304"/>
      <c r="AV129" s="304"/>
      <c r="AW129" s="304"/>
      <c r="AX129" s="304"/>
      <c r="AY129" s="304"/>
      <c r="AZ129" s="304"/>
      <c r="BA129" s="304"/>
      <c r="BB129" s="306"/>
      <c r="BC129" s="306"/>
      <c r="BD129" s="306"/>
      <c r="BE129" s="404"/>
      <c r="BF129" s="404"/>
      <c r="BG129" s="404"/>
      <c r="BH129" s="404"/>
    </row>
    <row r="130" spans="1:60" s="307" customFormat="1" ht="15.75">
      <c r="A130" s="158" t="s">
        <v>510</v>
      </c>
      <c r="B130" s="301"/>
      <c r="C130" s="301"/>
      <c r="D130" s="301"/>
      <c r="E130" s="197"/>
      <c r="F130" s="198"/>
      <c r="G130" s="196"/>
      <c r="H130" s="302"/>
      <c r="I130" s="303"/>
      <c r="J130" s="302"/>
      <c r="K130" s="302"/>
      <c r="L130" s="302"/>
      <c r="M130" s="302"/>
      <c r="N130" s="304"/>
      <c r="O130" s="305"/>
      <c r="P130" s="305"/>
      <c r="Q130" s="304"/>
      <c r="R130" s="304"/>
      <c r="S130" s="304"/>
      <c r="T130" s="304"/>
      <c r="U130" s="304"/>
      <c r="V130" s="304"/>
      <c r="W130" s="304"/>
      <c r="X130" s="304"/>
      <c r="Y130" s="304"/>
      <c r="Z130" s="304"/>
      <c r="AA130" s="304"/>
      <c r="AB130" s="304"/>
      <c r="AC130" s="304"/>
      <c r="AD130" s="304"/>
      <c r="AE130" s="304"/>
      <c r="AF130" s="304"/>
      <c r="AG130" s="304"/>
      <c r="AH130" s="304"/>
      <c r="AI130" s="304"/>
      <c r="AJ130" s="304"/>
      <c r="AK130" s="304"/>
      <c r="AL130" s="304"/>
      <c r="AM130" s="304"/>
      <c r="AN130" s="304"/>
      <c r="AO130" s="304"/>
      <c r="AP130" s="304"/>
      <c r="AQ130" s="304"/>
      <c r="AR130" s="304"/>
      <c r="AS130" s="304"/>
      <c r="AT130" s="304"/>
      <c r="AU130" s="304"/>
      <c r="AV130" s="304"/>
      <c r="AW130" s="304"/>
      <c r="AX130" s="304"/>
      <c r="AY130" s="304"/>
      <c r="AZ130" s="304"/>
      <c r="BA130" s="304"/>
      <c r="BB130" s="306"/>
      <c r="BC130" s="306"/>
      <c r="BD130" s="306"/>
      <c r="BE130" s="404"/>
      <c r="BF130" s="404"/>
      <c r="BG130" s="404"/>
      <c r="BH130" s="404"/>
    </row>
    <row r="131" spans="1:60" s="307" customFormat="1" ht="15.75">
      <c r="A131" s="158" t="s">
        <v>511</v>
      </c>
      <c r="B131" s="301"/>
      <c r="C131" s="301"/>
      <c r="D131" s="301"/>
      <c r="E131" s="197"/>
      <c r="F131" s="198"/>
      <c r="G131" s="196"/>
      <c r="H131" s="302"/>
      <c r="I131" s="303"/>
      <c r="J131" s="302"/>
      <c r="K131" s="302"/>
      <c r="L131" s="302"/>
      <c r="M131" s="302"/>
      <c r="N131" s="304"/>
      <c r="O131" s="305"/>
      <c r="P131" s="305"/>
      <c r="Q131" s="304"/>
      <c r="R131" s="304"/>
      <c r="S131" s="304"/>
      <c r="T131" s="304"/>
      <c r="U131" s="304"/>
      <c r="V131" s="304"/>
      <c r="W131" s="304"/>
      <c r="X131" s="304"/>
      <c r="Y131" s="304"/>
      <c r="Z131" s="304"/>
      <c r="AA131" s="304"/>
      <c r="AB131" s="304"/>
      <c r="AC131" s="304"/>
      <c r="AD131" s="304"/>
      <c r="AE131" s="304"/>
      <c r="AF131" s="304"/>
      <c r="AG131" s="304"/>
      <c r="AH131" s="304"/>
      <c r="AI131" s="304"/>
      <c r="AJ131" s="304"/>
      <c r="AK131" s="304"/>
      <c r="AL131" s="304"/>
      <c r="AM131" s="304"/>
      <c r="AN131" s="304"/>
      <c r="AO131" s="304"/>
      <c r="AP131" s="304"/>
      <c r="AQ131" s="304"/>
      <c r="AR131" s="304"/>
      <c r="AS131" s="304"/>
      <c r="AT131" s="304"/>
      <c r="AU131" s="304"/>
      <c r="AV131" s="304"/>
      <c r="AW131" s="304"/>
      <c r="AX131" s="304"/>
      <c r="AY131" s="304"/>
      <c r="AZ131" s="304"/>
      <c r="BA131" s="304"/>
      <c r="BB131" s="306"/>
      <c r="BC131" s="306"/>
      <c r="BD131" s="306"/>
      <c r="BE131" s="404"/>
      <c r="BF131" s="404"/>
      <c r="BG131" s="404"/>
      <c r="BH131" s="404"/>
    </row>
    <row r="132" spans="1:60" s="307" customFormat="1" ht="15.75">
      <c r="A132" s="158"/>
      <c r="B132" s="301"/>
      <c r="C132" s="301"/>
      <c r="D132" s="301"/>
      <c r="E132" s="197"/>
      <c r="F132" s="198"/>
      <c r="G132" s="196"/>
      <c r="H132" s="302"/>
      <c r="I132" s="303"/>
      <c r="J132" s="302"/>
      <c r="K132" s="302"/>
      <c r="L132" s="302"/>
      <c r="M132" s="302"/>
      <c r="N132" s="304"/>
      <c r="O132" s="305"/>
      <c r="P132" s="305"/>
      <c r="Q132" s="304"/>
      <c r="R132" s="304"/>
      <c r="S132" s="304"/>
      <c r="T132" s="304"/>
      <c r="U132" s="304"/>
      <c r="V132" s="304"/>
      <c r="W132" s="304"/>
      <c r="X132" s="304"/>
      <c r="Y132" s="304"/>
      <c r="Z132" s="304"/>
      <c r="AA132" s="304"/>
      <c r="AB132" s="304"/>
      <c r="AC132" s="304"/>
      <c r="AD132" s="304"/>
      <c r="AE132" s="304"/>
      <c r="AF132" s="304"/>
      <c r="AG132" s="304"/>
      <c r="AH132" s="304"/>
      <c r="AI132" s="304"/>
      <c r="AJ132" s="304"/>
      <c r="AK132" s="304"/>
      <c r="AL132" s="304"/>
      <c r="AM132" s="304"/>
      <c r="AN132" s="304"/>
      <c r="AO132" s="304"/>
      <c r="AP132" s="304"/>
      <c r="AQ132" s="304"/>
      <c r="AR132" s="304"/>
      <c r="AS132" s="304"/>
      <c r="AT132" s="304"/>
      <c r="AU132" s="304"/>
      <c r="AV132" s="304"/>
      <c r="AW132" s="304"/>
      <c r="AX132" s="304"/>
      <c r="AY132" s="304"/>
      <c r="AZ132" s="304"/>
      <c r="BA132" s="304"/>
      <c r="BB132" s="306"/>
      <c r="BC132" s="306"/>
      <c r="BD132" s="306"/>
      <c r="BE132" s="404"/>
      <c r="BF132" s="404"/>
      <c r="BG132" s="404"/>
      <c r="BH132" s="404"/>
    </row>
    <row r="133" spans="1:60" s="171" customFormat="1" ht="15.75">
      <c r="A133" s="170" t="s">
        <v>284</v>
      </c>
      <c r="D133" s="308"/>
      <c r="E133" s="174"/>
      <c r="F133" s="175"/>
      <c r="G133" s="173"/>
      <c r="H133" s="309"/>
      <c r="I133" s="176"/>
      <c r="J133" s="309"/>
      <c r="K133" s="309"/>
      <c r="L133" s="309"/>
      <c r="M133" s="309"/>
      <c r="N133" s="177"/>
      <c r="O133" s="178"/>
      <c r="P133" s="178"/>
      <c r="Q133" s="177"/>
      <c r="R133" s="177"/>
      <c r="S133" s="177"/>
      <c r="T133" s="177"/>
      <c r="U133" s="177"/>
      <c r="V133" s="177"/>
      <c r="W133" s="177"/>
      <c r="X133" s="177"/>
      <c r="Y133" s="177"/>
      <c r="Z133" s="177"/>
      <c r="AA133" s="177"/>
      <c r="AB133" s="177"/>
      <c r="AC133" s="177"/>
      <c r="AD133" s="177"/>
      <c r="AE133" s="177"/>
      <c r="AF133" s="177"/>
      <c r="AG133" s="177"/>
      <c r="AH133" s="177"/>
      <c r="AI133" s="177"/>
      <c r="AJ133" s="177"/>
      <c r="AK133" s="177"/>
      <c r="AL133" s="177"/>
      <c r="AM133" s="177"/>
      <c r="AN133" s="177"/>
      <c r="AO133" s="177"/>
      <c r="AP133" s="177"/>
      <c r="AQ133" s="177"/>
      <c r="AR133" s="177"/>
      <c r="AS133" s="177"/>
      <c r="AT133" s="177"/>
      <c r="AU133" s="177"/>
      <c r="AV133" s="177"/>
      <c r="AW133" s="177"/>
      <c r="AX133" s="177"/>
      <c r="AY133" s="177"/>
      <c r="AZ133" s="177"/>
      <c r="BA133" s="177"/>
      <c r="BB133" s="179"/>
      <c r="BC133" s="179"/>
      <c r="BD133" s="179"/>
      <c r="BE133" s="180"/>
      <c r="BF133" s="180"/>
      <c r="BG133" s="180"/>
      <c r="BH133" s="180"/>
    </row>
    <row r="134" spans="1:60" s="171" customFormat="1" ht="15.75">
      <c r="A134" s="170" t="s">
        <v>285</v>
      </c>
      <c r="D134" s="308"/>
      <c r="E134" s="174"/>
      <c r="F134" s="175"/>
      <c r="G134" s="173"/>
      <c r="H134" s="309"/>
      <c r="I134" s="176"/>
      <c r="J134" s="309"/>
      <c r="K134" s="309"/>
      <c r="L134" s="309"/>
      <c r="M134" s="309"/>
      <c r="N134" s="177"/>
      <c r="O134" s="178"/>
      <c r="P134" s="178"/>
      <c r="Q134" s="177"/>
      <c r="R134" s="177"/>
      <c r="S134" s="177"/>
      <c r="T134" s="177"/>
      <c r="U134" s="177"/>
      <c r="V134" s="177"/>
      <c r="W134" s="177"/>
      <c r="X134" s="177"/>
      <c r="Y134" s="177"/>
      <c r="Z134" s="177"/>
      <c r="AA134" s="177"/>
      <c r="AB134" s="177"/>
      <c r="AC134" s="177"/>
      <c r="AD134" s="177"/>
      <c r="AE134" s="177"/>
      <c r="AF134" s="177"/>
      <c r="AG134" s="177"/>
      <c r="AH134" s="177"/>
      <c r="AI134" s="177"/>
      <c r="AJ134" s="177"/>
      <c r="AK134" s="177"/>
      <c r="AL134" s="177"/>
      <c r="AM134" s="177"/>
      <c r="AN134" s="177"/>
      <c r="AO134" s="177"/>
      <c r="AP134" s="177"/>
      <c r="AQ134" s="177"/>
      <c r="AR134" s="177"/>
      <c r="AS134" s="177"/>
      <c r="AT134" s="177"/>
      <c r="AU134" s="177"/>
      <c r="AV134" s="177"/>
      <c r="AW134" s="177"/>
      <c r="AX134" s="177"/>
      <c r="AY134" s="177"/>
      <c r="AZ134" s="177"/>
      <c r="BA134" s="177"/>
      <c r="BB134" s="179"/>
      <c r="BC134" s="179"/>
      <c r="BD134" s="179"/>
      <c r="BE134" s="180"/>
      <c r="BF134" s="180"/>
      <c r="BG134" s="180"/>
      <c r="BH134" s="180"/>
    </row>
    <row r="135" spans="1:60" s="171" customFormat="1" ht="15.75">
      <c r="A135" s="170" t="s">
        <v>512</v>
      </c>
      <c r="D135" s="308"/>
      <c r="E135" s="174"/>
      <c r="F135" s="175"/>
      <c r="G135" s="173"/>
      <c r="H135" s="309"/>
      <c r="I135" s="176"/>
      <c r="J135" s="309"/>
      <c r="K135" s="309"/>
      <c r="L135" s="309"/>
      <c r="M135" s="309"/>
      <c r="N135" s="177"/>
      <c r="O135" s="178"/>
      <c r="P135" s="178"/>
      <c r="Q135" s="177"/>
      <c r="R135" s="177"/>
      <c r="S135" s="177"/>
      <c r="T135" s="177"/>
      <c r="U135" s="177"/>
      <c r="V135" s="177"/>
      <c r="W135" s="177"/>
      <c r="X135" s="177"/>
      <c r="Y135" s="177"/>
      <c r="Z135" s="177"/>
      <c r="AA135" s="177"/>
      <c r="AB135" s="177"/>
      <c r="AC135" s="177"/>
      <c r="AD135" s="177"/>
      <c r="AE135" s="177"/>
      <c r="AF135" s="177"/>
      <c r="AG135" s="177"/>
      <c r="AH135" s="177"/>
      <c r="AI135" s="177"/>
      <c r="AJ135" s="177"/>
      <c r="AK135" s="177"/>
      <c r="AL135" s="177"/>
      <c r="AM135" s="177"/>
      <c r="AN135" s="177"/>
      <c r="AO135" s="177"/>
      <c r="AP135" s="177"/>
      <c r="AQ135" s="177"/>
      <c r="AR135" s="177"/>
      <c r="AS135" s="177"/>
      <c r="AT135" s="177"/>
      <c r="AU135" s="177"/>
      <c r="AV135" s="177"/>
      <c r="AW135" s="177"/>
      <c r="AX135" s="177"/>
      <c r="AY135" s="177"/>
      <c r="AZ135" s="177"/>
      <c r="BA135" s="177"/>
      <c r="BB135" s="179"/>
      <c r="BC135" s="179"/>
      <c r="BD135" s="179"/>
      <c r="BE135" s="180"/>
      <c r="BF135" s="180"/>
      <c r="BG135" s="180"/>
      <c r="BH135" s="180"/>
    </row>
    <row r="136" spans="1:60" s="182" customFormat="1" ht="15.75">
      <c r="A136" s="170"/>
      <c r="D136" s="310"/>
      <c r="E136" s="185"/>
      <c r="F136" s="186"/>
      <c r="G136" s="184"/>
      <c r="H136" s="311"/>
      <c r="I136" s="187"/>
      <c r="J136" s="311"/>
      <c r="K136" s="311"/>
      <c r="L136" s="311"/>
      <c r="M136" s="311"/>
      <c r="N136" s="188"/>
      <c r="O136" s="189"/>
      <c r="P136" s="189"/>
      <c r="Q136" s="188"/>
      <c r="R136" s="188"/>
      <c r="S136" s="188"/>
      <c r="T136" s="188"/>
      <c r="U136" s="188"/>
      <c r="V136" s="188"/>
      <c r="W136" s="188"/>
      <c r="X136" s="188"/>
      <c r="Y136" s="188"/>
      <c r="Z136" s="188"/>
      <c r="AA136" s="188"/>
      <c r="AB136" s="188"/>
      <c r="AC136" s="188"/>
      <c r="AD136" s="188"/>
      <c r="AE136" s="188"/>
      <c r="AF136" s="188"/>
      <c r="AG136" s="188"/>
      <c r="AH136" s="188"/>
      <c r="AI136" s="188"/>
      <c r="AJ136" s="188"/>
      <c r="AK136" s="188"/>
      <c r="AL136" s="188"/>
      <c r="AM136" s="188"/>
      <c r="AN136" s="188"/>
      <c r="AO136" s="188"/>
      <c r="AP136" s="188"/>
      <c r="AQ136" s="188"/>
      <c r="AR136" s="188"/>
      <c r="AS136" s="188"/>
      <c r="AT136" s="188"/>
      <c r="AU136" s="188"/>
      <c r="AV136" s="188"/>
      <c r="AW136" s="188"/>
      <c r="AX136" s="188"/>
      <c r="AY136" s="188"/>
      <c r="AZ136" s="188"/>
      <c r="BA136" s="188"/>
      <c r="BB136" s="190"/>
      <c r="BC136" s="190"/>
      <c r="BD136" s="190"/>
      <c r="BE136" s="191"/>
      <c r="BF136" s="191"/>
      <c r="BG136" s="191"/>
      <c r="BH136" s="191"/>
    </row>
    <row r="137" spans="1:60" s="182" customFormat="1" ht="15.75">
      <c r="A137" s="193" t="s">
        <v>288</v>
      </c>
      <c r="D137" s="310"/>
      <c r="E137" s="185"/>
      <c r="F137" s="186"/>
      <c r="G137" s="184"/>
      <c r="H137" s="311"/>
      <c r="I137" s="187"/>
      <c r="J137" s="311"/>
      <c r="K137" s="311"/>
      <c r="L137" s="311"/>
      <c r="M137" s="311"/>
      <c r="N137" s="188"/>
      <c r="O137" s="189"/>
      <c r="P137" s="189"/>
      <c r="Q137" s="188"/>
      <c r="R137" s="188"/>
      <c r="S137" s="188"/>
      <c r="T137" s="188"/>
      <c r="U137" s="188"/>
      <c r="V137" s="188"/>
      <c r="W137" s="188"/>
      <c r="X137" s="188"/>
      <c r="Y137" s="188"/>
      <c r="Z137" s="188"/>
      <c r="AA137" s="188"/>
      <c r="AB137" s="188"/>
      <c r="AC137" s="188"/>
      <c r="AD137" s="188"/>
      <c r="AE137" s="188"/>
      <c r="AF137" s="188"/>
      <c r="AG137" s="188"/>
      <c r="AH137" s="188"/>
      <c r="AI137" s="188"/>
      <c r="AJ137" s="188"/>
      <c r="AK137" s="188"/>
      <c r="AL137" s="188"/>
      <c r="AM137" s="188"/>
      <c r="AN137" s="188"/>
      <c r="AO137" s="188"/>
      <c r="AP137" s="188"/>
      <c r="AQ137" s="188"/>
      <c r="AR137" s="188"/>
      <c r="AS137" s="188"/>
      <c r="AT137" s="188"/>
      <c r="AU137" s="188"/>
      <c r="AV137" s="188"/>
      <c r="AW137" s="188"/>
      <c r="AX137" s="188"/>
      <c r="AY137" s="188"/>
      <c r="AZ137" s="188"/>
      <c r="BA137" s="188"/>
      <c r="BB137" s="190"/>
      <c r="BC137" s="190"/>
      <c r="BD137" s="190"/>
      <c r="BE137" s="191"/>
      <c r="BF137" s="191"/>
      <c r="BG137" s="191"/>
      <c r="BH137" s="191"/>
    </row>
    <row r="138" spans="1:60" s="182" customFormat="1" ht="15.75">
      <c r="A138" s="195" t="s">
        <v>513</v>
      </c>
      <c r="D138" s="310"/>
      <c r="E138" s="185"/>
      <c r="F138" s="186"/>
      <c r="G138" s="184"/>
      <c r="H138" s="311"/>
      <c r="I138" s="187"/>
      <c r="J138" s="311"/>
      <c r="K138" s="311"/>
      <c r="L138" s="311"/>
      <c r="M138" s="311"/>
      <c r="N138" s="188"/>
      <c r="O138" s="189"/>
      <c r="P138" s="189"/>
      <c r="Q138" s="188"/>
      <c r="R138" s="188"/>
      <c r="S138" s="188"/>
      <c r="T138" s="188"/>
      <c r="U138" s="188"/>
      <c r="V138" s="188"/>
      <c r="W138" s="188"/>
      <c r="X138" s="188"/>
      <c r="Y138" s="188"/>
      <c r="Z138" s="188"/>
      <c r="AA138" s="188"/>
      <c r="AB138" s="188"/>
      <c r="AC138" s="188"/>
      <c r="AD138" s="188"/>
      <c r="AE138" s="188"/>
      <c r="AF138" s="188"/>
      <c r="AG138" s="188"/>
      <c r="AH138" s="188"/>
      <c r="AI138" s="188"/>
      <c r="AJ138" s="188"/>
      <c r="AK138" s="188"/>
      <c r="AL138" s="188"/>
      <c r="AM138" s="188"/>
      <c r="AN138" s="188"/>
      <c r="AO138" s="188"/>
      <c r="AP138" s="188"/>
      <c r="AQ138" s="188"/>
      <c r="AR138" s="188"/>
      <c r="AS138" s="188"/>
      <c r="AT138" s="188"/>
      <c r="AU138" s="188"/>
      <c r="AV138" s="188"/>
      <c r="AW138" s="188"/>
      <c r="AX138" s="188"/>
      <c r="AY138" s="188"/>
      <c r="AZ138" s="188"/>
      <c r="BA138" s="188"/>
      <c r="BB138" s="190"/>
      <c r="BC138" s="190"/>
      <c r="BD138" s="190"/>
      <c r="BE138" s="191"/>
      <c r="BF138" s="191"/>
      <c r="BG138" s="191"/>
      <c r="BH138" s="191"/>
    </row>
    <row r="139" spans="1:60" s="182" customFormat="1" ht="15.75">
      <c r="A139" s="194" t="s">
        <v>514</v>
      </c>
      <c r="D139" s="310"/>
      <c r="E139" s="185"/>
      <c r="F139" s="186"/>
      <c r="G139" s="184"/>
      <c r="H139" s="311"/>
      <c r="I139" s="187"/>
      <c r="J139" s="311"/>
      <c r="K139" s="311"/>
      <c r="L139" s="311"/>
      <c r="M139" s="311"/>
      <c r="N139" s="188"/>
      <c r="O139" s="189"/>
      <c r="P139" s="189"/>
      <c r="Q139" s="188"/>
      <c r="R139" s="188"/>
      <c r="S139" s="188"/>
      <c r="T139" s="188"/>
      <c r="U139" s="188"/>
      <c r="V139" s="188"/>
      <c r="W139" s="188"/>
      <c r="X139" s="188"/>
      <c r="Y139" s="188"/>
      <c r="Z139" s="188"/>
      <c r="AA139" s="188"/>
      <c r="AB139" s="188"/>
      <c r="AC139" s="188"/>
      <c r="AD139" s="188"/>
      <c r="AE139" s="188"/>
      <c r="AF139" s="188"/>
      <c r="AG139" s="188"/>
      <c r="AH139" s="188"/>
      <c r="AI139" s="188"/>
      <c r="AJ139" s="188"/>
      <c r="AK139" s="188"/>
      <c r="AL139" s="188"/>
      <c r="AM139" s="188"/>
      <c r="AN139" s="188"/>
      <c r="AO139" s="188"/>
      <c r="AP139" s="188"/>
      <c r="AQ139" s="188"/>
      <c r="AR139" s="188"/>
      <c r="AS139" s="188"/>
      <c r="AT139" s="188"/>
      <c r="AU139" s="188"/>
      <c r="AV139" s="188"/>
      <c r="AW139" s="188"/>
      <c r="AX139" s="188"/>
      <c r="AY139" s="188"/>
      <c r="AZ139" s="188"/>
      <c r="BA139" s="188"/>
      <c r="BB139" s="190"/>
      <c r="BC139" s="190"/>
      <c r="BD139" s="190"/>
      <c r="BE139" s="191"/>
      <c r="BF139" s="191"/>
      <c r="BG139" s="191"/>
      <c r="BH139" s="191"/>
    </row>
    <row r="140" spans="1:60" s="182" customFormat="1" ht="15.75">
      <c r="A140" s="195" t="s">
        <v>291</v>
      </c>
      <c r="D140" s="310"/>
      <c r="E140" s="185"/>
      <c r="F140" s="186"/>
      <c r="G140" s="184"/>
      <c r="H140" s="311"/>
      <c r="I140" s="187"/>
      <c r="J140" s="311"/>
      <c r="K140" s="311"/>
      <c r="L140" s="311"/>
      <c r="M140" s="311"/>
      <c r="N140" s="188"/>
      <c r="O140" s="189"/>
      <c r="P140" s="189"/>
      <c r="Q140" s="188"/>
      <c r="R140" s="188"/>
      <c r="S140" s="188"/>
      <c r="T140" s="188"/>
      <c r="U140" s="188"/>
      <c r="V140" s="188"/>
      <c r="W140" s="188"/>
      <c r="X140" s="188"/>
      <c r="Y140" s="188"/>
      <c r="Z140" s="188"/>
      <c r="AA140" s="188"/>
      <c r="AB140" s="188"/>
      <c r="AC140" s="188"/>
      <c r="AD140" s="188"/>
      <c r="AE140" s="188"/>
      <c r="AF140" s="188"/>
      <c r="AG140" s="188"/>
      <c r="AH140" s="188"/>
      <c r="AI140" s="188"/>
      <c r="AJ140" s="188"/>
      <c r="AK140" s="188"/>
      <c r="AL140" s="188"/>
      <c r="AM140" s="188"/>
      <c r="AN140" s="188"/>
      <c r="AO140" s="188"/>
      <c r="AP140" s="188"/>
      <c r="AQ140" s="188"/>
      <c r="AR140" s="188"/>
      <c r="AS140" s="188"/>
      <c r="AT140" s="188"/>
      <c r="AU140" s="188"/>
      <c r="AV140" s="188"/>
      <c r="AW140" s="188"/>
      <c r="AX140" s="188"/>
      <c r="AY140" s="188"/>
      <c r="AZ140" s="188"/>
      <c r="BA140" s="188"/>
      <c r="BB140" s="190"/>
      <c r="BC140" s="190"/>
      <c r="BD140" s="190"/>
      <c r="BE140" s="191"/>
      <c r="BF140" s="191"/>
      <c r="BG140" s="191"/>
      <c r="BH140" s="191"/>
    </row>
    <row r="141" spans="1:60" s="182" customFormat="1" ht="15.75">
      <c r="A141" s="194" t="s">
        <v>515</v>
      </c>
      <c r="D141" s="310"/>
      <c r="E141" s="185"/>
      <c r="F141" s="186"/>
      <c r="G141" s="184"/>
      <c r="H141" s="311"/>
      <c r="I141" s="187"/>
      <c r="J141" s="311"/>
      <c r="K141" s="311"/>
      <c r="L141" s="311"/>
      <c r="M141" s="311"/>
      <c r="N141" s="188"/>
      <c r="O141" s="189"/>
      <c r="P141" s="189"/>
      <c r="Q141" s="188"/>
      <c r="R141" s="188"/>
      <c r="S141" s="188"/>
      <c r="T141" s="188"/>
      <c r="U141" s="188"/>
      <c r="V141" s="188"/>
      <c r="W141" s="188"/>
      <c r="X141" s="188"/>
      <c r="Y141" s="188"/>
      <c r="Z141" s="188"/>
      <c r="AA141" s="188"/>
      <c r="AB141" s="188"/>
      <c r="AC141" s="188"/>
      <c r="AD141" s="188"/>
      <c r="AE141" s="188"/>
      <c r="AF141" s="188"/>
      <c r="AG141" s="188"/>
      <c r="AH141" s="188"/>
      <c r="AI141" s="188"/>
      <c r="AJ141" s="188"/>
      <c r="AK141" s="188"/>
      <c r="AL141" s="188"/>
      <c r="AM141" s="188"/>
      <c r="AN141" s="188"/>
      <c r="AO141" s="188"/>
      <c r="AP141" s="188"/>
      <c r="AQ141" s="188"/>
      <c r="AR141" s="188"/>
      <c r="AS141" s="188"/>
      <c r="AT141" s="188"/>
      <c r="AU141" s="188"/>
      <c r="AV141" s="188"/>
      <c r="AW141" s="188"/>
      <c r="AX141" s="188"/>
      <c r="AY141" s="188"/>
      <c r="AZ141" s="188"/>
      <c r="BA141" s="188"/>
      <c r="BB141" s="190"/>
      <c r="BC141" s="190"/>
      <c r="BD141" s="190"/>
      <c r="BE141" s="191"/>
      <c r="BF141" s="191"/>
      <c r="BG141" s="191"/>
      <c r="BH141" s="191"/>
    </row>
    <row r="142" spans="1:60" s="182" customFormat="1" ht="15.75">
      <c r="A142" s="194" t="s">
        <v>516</v>
      </c>
      <c r="D142" s="310"/>
      <c r="E142" s="185"/>
      <c r="F142" s="186"/>
      <c r="G142" s="184"/>
      <c r="H142" s="311"/>
      <c r="I142" s="187"/>
      <c r="J142" s="311"/>
      <c r="K142" s="311"/>
      <c r="L142" s="311"/>
      <c r="M142" s="311"/>
      <c r="N142" s="188"/>
      <c r="O142" s="189"/>
      <c r="P142" s="189"/>
      <c r="Q142" s="188"/>
      <c r="R142" s="188"/>
      <c r="S142" s="188"/>
      <c r="T142" s="188"/>
      <c r="U142" s="188"/>
      <c r="V142" s="188"/>
      <c r="W142" s="188"/>
      <c r="X142" s="188"/>
      <c r="Y142" s="188"/>
      <c r="Z142" s="188"/>
      <c r="AA142" s="188"/>
      <c r="AB142" s="188"/>
      <c r="AC142" s="188"/>
      <c r="AD142" s="188"/>
      <c r="AE142" s="188"/>
      <c r="AF142" s="188"/>
      <c r="AG142" s="188"/>
      <c r="AH142" s="188"/>
      <c r="AI142" s="188"/>
      <c r="AJ142" s="188"/>
      <c r="AK142" s="188"/>
      <c r="AL142" s="188"/>
      <c r="AM142" s="188"/>
      <c r="AN142" s="188"/>
      <c r="AO142" s="188"/>
      <c r="AP142" s="188"/>
      <c r="AQ142" s="188"/>
      <c r="AR142" s="188"/>
      <c r="AS142" s="188"/>
      <c r="AT142" s="188"/>
      <c r="AU142" s="188"/>
      <c r="AV142" s="188"/>
      <c r="AW142" s="188"/>
      <c r="AX142" s="188"/>
      <c r="AY142" s="188"/>
      <c r="AZ142" s="188"/>
      <c r="BA142" s="188"/>
      <c r="BB142" s="190"/>
      <c r="BC142" s="190"/>
      <c r="BD142" s="190"/>
      <c r="BE142" s="191"/>
      <c r="BF142" s="191"/>
      <c r="BG142" s="191"/>
      <c r="BH142" s="191"/>
    </row>
    <row r="143" spans="1:60" s="182" customFormat="1" ht="15.75">
      <c r="A143" s="193"/>
      <c r="D143" s="310"/>
      <c r="E143" s="185"/>
      <c r="F143" s="186"/>
      <c r="G143" s="184"/>
      <c r="H143" s="311"/>
      <c r="I143" s="187"/>
      <c r="J143" s="311"/>
      <c r="K143" s="311"/>
      <c r="L143" s="311"/>
      <c r="M143" s="311"/>
      <c r="N143" s="188"/>
      <c r="O143" s="189"/>
      <c r="P143" s="189"/>
      <c r="Q143" s="188"/>
      <c r="R143" s="188"/>
      <c r="S143" s="188"/>
      <c r="T143" s="188"/>
      <c r="U143" s="188"/>
      <c r="V143" s="188"/>
      <c r="W143" s="188"/>
      <c r="X143" s="188"/>
      <c r="Y143" s="188"/>
      <c r="Z143" s="188"/>
      <c r="AA143" s="188"/>
      <c r="AB143" s="188"/>
      <c r="AC143" s="188"/>
      <c r="AD143" s="188"/>
      <c r="AE143" s="188"/>
      <c r="AF143" s="188"/>
      <c r="AG143" s="188"/>
      <c r="AH143" s="188"/>
      <c r="AI143" s="188"/>
      <c r="AJ143" s="188"/>
      <c r="AK143" s="188"/>
      <c r="AL143" s="188"/>
      <c r="AM143" s="188"/>
      <c r="AN143" s="188"/>
      <c r="AO143" s="188"/>
      <c r="AP143" s="188"/>
      <c r="AQ143" s="188"/>
      <c r="AR143" s="188"/>
      <c r="AS143" s="188"/>
      <c r="AT143" s="188"/>
      <c r="AU143" s="188"/>
      <c r="AV143" s="188"/>
      <c r="AW143" s="188"/>
      <c r="AX143" s="188"/>
      <c r="AY143" s="188"/>
      <c r="AZ143" s="188"/>
      <c r="BA143" s="188"/>
      <c r="BB143" s="190"/>
      <c r="BC143" s="190"/>
      <c r="BD143" s="190"/>
      <c r="BE143" s="191"/>
      <c r="BF143" s="191"/>
      <c r="BG143" s="191"/>
      <c r="BH143" s="191"/>
    </row>
    <row r="144" spans="1:60" s="167" customFormat="1" ht="15.75">
      <c r="A144" s="374" t="s">
        <v>294</v>
      </c>
      <c r="B144" s="390"/>
      <c r="C144" s="390"/>
      <c r="D144" s="391"/>
      <c r="E144" s="392"/>
      <c r="F144" s="393"/>
      <c r="G144" s="394"/>
      <c r="H144" s="390"/>
      <c r="I144" s="395"/>
      <c r="J144" s="390"/>
      <c r="K144" s="390"/>
      <c r="L144" s="390"/>
      <c r="M144" s="390"/>
      <c r="N144" s="390"/>
      <c r="O144" s="396"/>
      <c r="P144" s="199"/>
      <c r="BB144" s="200"/>
      <c r="BC144" s="200"/>
      <c r="BD144" s="200"/>
      <c r="BE144" s="201"/>
      <c r="BF144" s="201"/>
      <c r="BG144" s="201"/>
      <c r="BH144" s="201"/>
    </row>
    <row r="145" spans="1:60" s="203" customFormat="1">
      <c r="A145" s="382" t="s">
        <v>295</v>
      </c>
      <c r="B145" s="379"/>
      <c r="C145" s="379"/>
      <c r="D145" s="397"/>
      <c r="E145" s="377"/>
      <c r="F145" s="378"/>
      <c r="G145" s="376"/>
      <c r="H145" s="379"/>
      <c r="I145" s="375"/>
      <c r="J145" s="379"/>
      <c r="K145" s="379"/>
      <c r="L145" s="379"/>
      <c r="M145" s="379"/>
      <c r="N145" s="379"/>
      <c r="O145" s="380"/>
      <c r="P145" s="208"/>
      <c r="BB145" s="209"/>
      <c r="BC145" s="209"/>
      <c r="BD145" s="209"/>
      <c r="BE145" s="210"/>
      <c r="BF145" s="210"/>
      <c r="BG145" s="210"/>
      <c r="BH145" s="210"/>
    </row>
    <row r="146" spans="1:60" s="203" customFormat="1">
      <c r="A146" s="382" t="s">
        <v>296</v>
      </c>
      <c r="B146" s="379"/>
      <c r="C146" s="379"/>
      <c r="D146" s="397"/>
      <c r="E146" s="377"/>
      <c r="F146" s="378"/>
      <c r="G146" s="376"/>
      <c r="H146" s="379"/>
      <c r="I146" s="375"/>
      <c r="J146" s="379"/>
      <c r="K146" s="379"/>
      <c r="L146" s="379"/>
      <c r="M146" s="379"/>
      <c r="N146" s="379"/>
      <c r="O146" s="380"/>
      <c r="P146" s="208"/>
      <c r="BB146" s="209"/>
      <c r="BC146" s="209"/>
      <c r="BD146" s="209"/>
      <c r="BE146" s="210"/>
      <c r="BF146" s="210"/>
      <c r="BG146" s="210"/>
      <c r="BH146" s="210"/>
    </row>
    <row r="147" spans="1:60" s="203" customFormat="1">
      <c r="A147" s="382" t="s">
        <v>297</v>
      </c>
      <c r="B147" s="379"/>
      <c r="C147" s="379"/>
      <c r="D147" s="397"/>
      <c r="E147" s="377"/>
      <c r="F147" s="378"/>
      <c r="G147" s="376"/>
      <c r="H147" s="379"/>
      <c r="I147" s="375"/>
      <c r="J147" s="379"/>
      <c r="K147" s="379"/>
      <c r="L147" s="379"/>
      <c r="M147" s="379"/>
      <c r="N147" s="379"/>
      <c r="O147" s="380"/>
      <c r="P147" s="208"/>
      <c r="BB147" s="209"/>
      <c r="BC147" s="209"/>
      <c r="BD147" s="209"/>
      <c r="BE147" s="210"/>
      <c r="BF147" s="210"/>
      <c r="BG147" s="210"/>
      <c r="BH147" s="210"/>
    </row>
    <row r="148" spans="1:60" s="203" customFormat="1">
      <c r="A148" s="382" t="s">
        <v>299</v>
      </c>
      <c r="B148" s="379"/>
      <c r="C148" s="379"/>
      <c r="D148" s="397"/>
      <c r="E148" s="377"/>
      <c r="F148" s="378"/>
      <c r="G148" s="376"/>
      <c r="H148" s="379"/>
      <c r="I148" s="375"/>
      <c r="J148" s="379"/>
      <c r="K148" s="379"/>
      <c r="L148" s="379"/>
      <c r="M148" s="379"/>
      <c r="N148" s="379"/>
      <c r="O148" s="380"/>
      <c r="P148" s="208"/>
      <c r="BB148" s="209"/>
      <c r="BC148" s="209"/>
      <c r="BD148" s="209"/>
      <c r="BE148" s="210"/>
      <c r="BF148" s="210"/>
      <c r="BG148" s="210"/>
      <c r="BH148" s="210"/>
    </row>
    <row r="149" spans="1:60" s="203" customFormat="1">
      <c r="A149" s="382" t="s">
        <v>517</v>
      </c>
      <c r="B149" s="379"/>
      <c r="C149" s="379"/>
      <c r="D149" s="397"/>
      <c r="E149" s="377"/>
      <c r="F149" s="378"/>
      <c r="G149" s="376"/>
      <c r="H149" s="379"/>
      <c r="I149" s="375"/>
      <c r="J149" s="379"/>
      <c r="K149" s="379"/>
      <c r="L149" s="379"/>
      <c r="M149" s="379"/>
      <c r="N149" s="379"/>
      <c r="O149" s="380"/>
      <c r="P149" s="208"/>
      <c r="BB149" s="209"/>
      <c r="BC149" s="209"/>
      <c r="BD149" s="209"/>
      <c r="BE149" s="210"/>
      <c r="BF149" s="210"/>
      <c r="BG149" s="210"/>
      <c r="BH149" s="210"/>
    </row>
    <row r="150" spans="1:60" s="203" customFormat="1">
      <c r="A150" s="382" t="s">
        <v>301</v>
      </c>
      <c r="B150" s="379"/>
      <c r="C150" s="379"/>
      <c r="D150" s="397"/>
      <c r="E150" s="377"/>
      <c r="F150" s="378"/>
      <c r="G150" s="376"/>
      <c r="H150" s="379"/>
      <c r="I150" s="375"/>
      <c r="J150" s="379"/>
      <c r="K150" s="379"/>
      <c r="L150" s="379"/>
      <c r="M150" s="379"/>
      <c r="N150" s="379"/>
      <c r="O150" s="380"/>
      <c r="P150" s="208"/>
      <c r="BB150" s="209"/>
      <c r="BC150" s="209"/>
      <c r="BD150" s="209"/>
      <c r="BE150" s="210"/>
      <c r="BF150" s="210"/>
      <c r="BG150" s="210"/>
      <c r="BH150" s="210"/>
    </row>
    <row r="151" spans="1:60" s="203" customFormat="1">
      <c r="A151" s="382" t="s">
        <v>302</v>
      </c>
      <c r="B151" s="379"/>
      <c r="C151" s="379"/>
      <c r="D151" s="397"/>
      <c r="E151" s="377"/>
      <c r="F151" s="378"/>
      <c r="G151" s="376"/>
      <c r="H151" s="379"/>
      <c r="I151" s="375"/>
      <c r="J151" s="379"/>
      <c r="K151" s="379"/>
      <c r="L151" s="379"/>
      <c r="M151" s="379"/>
      <c r="N151" s="379"/>
      <c r="O151" s="380"/>
      <c r="P151" s="208"/>
      <c r="BB151" s="209"/>
      <c r="BC151" s="209"/>
      <c r="BD151" s="209"/>
      <c r="BE151" s="210"/>
      <c r="BF151" s="210"/>
      <c r="BG151" s="210"/>
      <c r="BH151" s="210"/>
    </row>
    <row r="152" spans="1:60" s="203" customFormat="1">
      <c r="A152" s="383" t="s">
        <v>574</v>
      </c>
      <c r="B152" s="379"/>
      <c r="C152" s="379"/>
      <c r="D152" s="397"/>
      <c r="E152" s="377"/>
      <c r="F152" s="378"/>
      <c r="G152" s="376"/>
      <c r="H152" s="379"/>
      <c r="I152" s="375"/>
      <c r="J152" s="379"/>
      <c r="K152" s="379"/>
      <c r="L152" s="379"/>
      <c r="M152" s="379"/>
      <c r="N152" s="379"/>
      <c r="O152" s="380"/>
      <c r="P152" s="208"/>
      <c r="BB152" s="209"/>
      <c r="BC152" s="209"/>
      <c r="BD152" s="209"/>
      <c r="BE152" s="210"/>
      <c r="BF152" s="210"/>
      <c r="BG152" s="210"/>
      <c r="BH152" s="210"/>
    </row>
    <row r="153" spans="1:60" s="216" customFormat="1">
      <c r="A153" s="221"/>
      <c r="D153" s="312"/>
      <c r="E153" s="224"/>
      <c r="F153" s="220"/>
      <c r="G153" s="222"/>
      <c r="I153" s="217"/>
      <c r="O153" s="223"/>
      <c r="P153" s="223"/>
      <c r="R153" s="218"/>
      <c r="S153" s="218"/>
      <c r="T153" s="218"/>
      <c r="U153" s="218"/>
      <c r="V153" s="218"/>
      <c r="W153" s="218"/>
      <c r="X153" s="218"/>
      <c r="Y153" s="218"/>
      <c r="Z153" s="218"/>
      <c r="AA153" s="218"/>
      <c r="AB153" s="218"/>
      <c r="AC153" s="218"/>
      <c r="AD153" s="219"/>
      <c r="AE153" s="219"/>
      <c r="AF153" s="219"/>
      <c r="AG153" s="219"/>
      <c r="AH153" s="219"/>
      <c r="AI153" s="219"/>
      <c r="AJ153" s="219"/>
      <c r="AK153" s="219"/>
      <c r="AL153" s="219"/>
      <c r="AM153" s="219"/>
      <c r="AN153" s="219"/>
      <c r="AO153" s="219"/>
      <c r="BB153" s="215"/>
      <c r="BC153" s="215"/>
      <c r="BD153" s="215"/>
      <c r="BE153" s="213"/>
      <c r="BF153" s="213"/>
      <c r="BG153" s="213"/>
      <c r="BH153" s="213"/>
    </row>
    <row r="154" spans="1:60" s="216" customFormat="1">
      <c r="A154" s="221"/>
      <c r="D154" s="312"/>
      <c r="E154" s="224"/>
      <c r="F154" s="220"/>
      <c r="G154" s="222"/>
      <c r="I154" s="217"/>
      <c r="O154" s="223"/>
      <c r="P154" s="223"/>
      <c r="R154" s="218"/>
      <c r="S154" s="218"/>
      <c r="T154" s="218"/>
      <c r="U154" s="218"/>
      <c r="V154" s="218"/>
      <c r="W154" s="218"/>
      <c r="X154" s="218"/>
      <c r="Y154" s="218"/>
      <c r="Z154" s="218"/>
      <c r="AA154" s="218"/>
      <c r="AB154" s="218"/>
      <c r="AC154" s="218"/>
      <c r="AD154" s="219"/>
      <c r="AE154" s="219"/>
      <c r="AF154" s="219"/>
      <c r="AG154" s="219"/>
      <c r="AH154" s="219"/>
      <c r="AI154" s="219"/>
      <c r="AJ154" s="219"/>
      <c r="AK154" s="219"/>
      <c r="AL154" s="219"/>
      <c r="AM154" s="219"/>
      <c r="AN154" s="219"/>
      <c r="AO154" s="219"/>
      <c r="BB154" s="215"/>
      <c r="BC154" s="215"/>
      <c r="BD154" s="215"/>
      <c r="BE154" s="213"/>
      <c r="BF154" s="213"/>
      <c r="BG154" s="213"/>
      <c r="BH154" s="213"/>
    </row>
    <row r="155" spans="1:60" s="216" customFormat="1">
      <c r="A155" s="221"/>
      <c r="D155" s="312"/>
      <c r="E155" s="224"/>
      <c r="F155" s="220"/>
      <c r="G155" s="222"/>
      <c r="I155" s="217"/>
      <c r="O155" s="223"/>
      <c r="P155" s="223"/>
      <c r="R155" s="218"/>
      <c r="S155" s="218"/>
      <c r="T155" s="218"/>
      <c r="U155" s="218"/>
      <c r="V155" s="218"/>
      <c r="W155" s="218"/>
      <c r="X155" s="218"/>
      <c r="Y155" s="218"/>
      <c r="Z155" s="218"/>
      <c r="AA155" s="218"/>
      <c r="AB155" s="218"/>
      <c r="AC155" s="218"/>
      <c r="AD155" s="219"/>
      <c r="AE155" s="219"/>
      <c r="AF155" s="219"/>
      <c r="AG155" s="219"/>
      <c r="AH155" s="219"/>
      <c r="AI155" s="219"/>
      <c r="AJ155" s="219"/>
      <c r="AK155" s="219"/>
      <c r="AL155" s="219"/>
      <c r="AM155" s="219"/>
      <c r="AN155" s="219"/>
      <c r="AO155" s="219"/>
      <c r="BB155" s="215"/>
      <c r="BC155" s="215"/>
      <c r="BD155" s="215"/>
      <c r="BE155" s="213"/>
      <c r="BF155" s="213"/>
      <c r="BG155" s="213"/>
      <c r="BH155" s="213"/>
    </row>
    <row r="156" spans="1:60" s="216" customFormat="1">
      <c r="A156" s="221"/>
      <c r="D156" s="312"/>
      <c r="E156" s="224"/>
      <c r="F156" s="220"/>
      <c r="G156" s="222"/>
      <c r="I156" s="217"/>
      <c r="O156" s="223"/>
      <c r="P156" s="223"/>
      <c r="R156" s="218"/>
      <c r="S156" s="218"/>
      <c r="T156" s="218"/>
      <c r="U156" s="218"/>
      <c r="V156" s="218"/>
      <c r="W156" s="218"/>
      <c r="X156" s="218"/>
      <c r="Y156" s="218"/>
      <c r="Z156" s="218"/>
      <c r="AA156" s="218"/>
      <c r="AB156" s="218"/>
      <c r="AC156" s="218"/>
      <c r="AD156" s="219"/>
      <c r="AE156" s="219"/>
      <c r="AF156" s="219"/>
      <c r="AG156" s="219"/>
      <c r="AH156" s="219"/>
      <c r="AI156" s="219"/>
      <c r="AJ156" s="219"/>
      <c r="AK156" s="219"/>
      <c r="AL156" s="219"/>
      <c r="AM156" s="219"/>
      <c r="AN156" s="219"/>
      <c r="AO156" s="219"/>
      <c r="BB156" s="215"/>
      <c r="BC156" s="215"/>
      <c r="BD156" s="215"/>
      <c r="BE156" s="213"/>
      <c r="BF156" s="213"/>
      <c r="BG156" s="213"/>
      <c r="BH156" s="213"/>
    </row>
    <row r="157" spans="1:60" s="216" customFormat="1">
      <c r="A157" s="221"/>
      <c r="D157" s="312"/>
      <c r="E157" s="224"/>
      <c r="F157" s="220"/>
      <c r="G157" s="222"/>
      <c r="I157" s="217"/>
      <c r="O157" s="223"/>
      <c r="P157" s="223"/>
      <c r="R157" s="218"/>
      <c r="S157" s="218"/>
      <c r="T157" s="218"/>
      <c r="U157" s="218"/>
      <c r="V157" s="218"/>
      <c r="W157" s="218"/>
      <c r="X157" s="218"/>
      <c r="Y157" s="218"/>
      <c r="Z157" s="218"/>
      <c r="AA157" s="218"/>
      <c r="AB157" s="218"/>
      <c r="AC157" s="218"/>
      <c r="AD157" s="219"/>
      <c r="AE157" s="219"/>
      <c r="AF157" s="219"/>
      <c r="AG157" s="219"/>
      <c r="AH157" s="219"/>
      <c r="AI157" s="219"/>
      <c r="AJ157" s="219"/>
      <c r="AK157" s="219"/>
      <c r="AL157" s="219"/>
      <c r="AM157" s="219"/>
      <c r="AN157" s="219"/>
      <c r="AO157" s="219"/>
      <c r="BB157" s="215"/>
      <c r="BC157" s="215"/>
      <c r="BD157" s="215"/>
      <c r="BE157" s="213"/>
      <c r="BF157" s="213"/>
      <c r="BG157" s="213"/>
      <c r="BH157" s="213"/>
    </row>
    <row r="158" spans="1:60" s="216" customFormat="1">
      <c r="A158" s="221"/>
      <c r="D158" s="312"/>
      <c r="E158" s="224"/>
      <c r="F158" s="220"/>
      <c r="G158" s="222"/>
      <c r="I158" s="217"/>
      <c r="O158" s="223"/>
      <c r="P158" s="223"/>
      <c r="R158" s="218"/>
      <c r="S158" s="218"/>
      <c r="T158" s="218"/>
      <c r="U158" s="218"/>
      <c r="V158" s="218"/>
      <c r="W158" s="218"/>
      <c r="X158" s="218"/>
      <c r="Y158" s="218"/>
      <c r="Z158" s="218"/>
      <c r="AA158" s="218"/>
      <c r="AB158" s="218"/>
      <c r="AC158" s="218"/>
      <c r="AD158" s="219"/>
      <c r="AE158" s="219"/>
      <c r="AF158" s="219"/>
      <c r="AG158" s="219"/>
      <c r="AH158" s="219"/>
      <c r="AI158" s="219"/>
      <c r="AJ158" s="219"/>
      <c r="AK158" s="219"/>
      <c r="AL158" s="219"/>
      <c r="AM158" s="219"/>
      <c r="AN158" s="219"/>
      <c r="AO158" s="219"/>
      <c r="BB158" s="215"/>
      <c r="BC158" s="215"/>
      <c r="BD158" s="215"/>
      <c r="BE158" s="213"/>
      <c r="BF158" s="213"/>
      <c r="BG158" s="213"/>
      <c r="BH158" s="213"/>
    </row>
    <row r="159" spans="1:60" s="216" customFormat="1">
      <c r="A159" s="221"/>
      <c r="D159" s="312"/>
      <c r="E159" s="224"/>
      <c r="F159" s="220"/>
      <c r="G159" s="222"/>
      <c r="I159" s="217"/>
      <c r="O159" s="223"/>
      <c r="P159" s="223"/>
      <c r="R159" s="218"/>
      <c r="S159" s="218"/>
      <c r="T159" s="218"/>
      <c r="U159" s="218"/>
      <c r="V159" s="218"/>
      <c r="W159" s="218"/>
      <c r="X159" s="218"/>
      <c r="Y159" s="218"/>
      <c r="Z159" s="218"/>
      <c r="AA159" s="218"/>
      <c r="AB159" s="218"/>
      <c r="AC159" s="218"/>
      <c r="AD159" s="219"/>
      <c r="AE159" s="219"/>
      <c r="AF159" s="219"/>
      <c r="AG159" s="219"/>
      <c r="AH159" s="219"/>
      <c r="AI159" s="219"/>
      <c r="AJ159" s="219"/>
      <c r="AK159" s="219"/>
      <c r="AL159" s="219"/>
      <c r="AM159" s="219"/>
      <c r="AN159" s="219"/>
      <c r="AO159" s="219"/>
      <c r="BB159" s="215"/>
      <c r="BC159" s="215"/>
      <c r="BD159" s="215"/>
      <c r="BE159" s="213"/>
      <c r="BF159" s="213"/>
      <c r="BG159" s="213"/>
      <c r="BH159" s="213"/>
    </row>
    <row r="160" spans="1:60" s="216" customFormat="1">
      <c r="A160" s="221"/>
      <c r="D160" s="312"/>
      <c r="E160" s="224"/>
      <c r="F160" s="220"/>
      <c r="G160" s="222"/>
      <c r="I160" s="217"/>
      <c r="O160" s="223"/>
      <c r="P160" s="223"/>
      <c r="R160" s="218"/>
      <c r="S160" s="218"/>
      <c r="T160" s="218"/>
      <c r="U160" s="218"/>
      <c r="V160" s="218"/>
      <c r="W160" s="218"/>
      <c r="X160" s="218"/>
      <c r="Y160" s="218"/>
      <c r="Z160" s="218"/>
      <c r="AA160" s="218"/>
      <c r="AB160" s="218"/>
      <c r="AC160" s="218"/>
      <c r="AD160" s="219"/>
      <c r="AE160" s="219"/>
      <c r="AF160" s="219"/>
      <c r="AG160" s="219"/>
      <c r="AH160" s="219"/>
      <c r="AI160" s="219"/>
      <c r="AJ160" s="219"/>
      <c r="AK160" s="219"/>
      <c r="AL160" s="219"/>
      <c r="AM160" s="219"/>
      <c r="AN160" s="219"/>
      <c r="AO160" s="219"/>
      <c r="BB160" s="215"/>
      <c r="BC160" s="215"/>
      <c r="BD160" s="215"/>
      <c r="BE160" s="213"/>
      <c r="BF160" s="213"/>
      <c r="BG160" s="213"/>
      <c r="BH160" s="213"/>
    </row>
    <row r="161" spans="1:60" s="216" customFormat="1">
      <c r="A161" s="221"/>
      <c r="D161" s="312"/>
      <c r="E161" s="224"/>
      <c r="F161" s="220"/>
      <c r="G161" s="222"/>
      <c r="I161" s="217"/>
      <c r="O161" s="223"/>
      <c r="P161" s="223"/>
      <c r="R161" s="218"/>
      <c r="S161" s="218"/>
      <c r="T161" s="218"/>
      <c r="U161" s="218"/>
      <c r="V161" s="218"/>
      <c r="W161" s="218"/>
      <c r="X161" s="218"/>
      <c r="Y161" s="218"/>
      <c r="Z161" s="218"/>
      <c r="AA161" s="218"/>
      <c r="AB161" s="218"/>
      <c r="AC161" s="218"/>
      <c r="AD161" s="219"/>
      <c r="AE161" s="219"/>
      <c r="AF161" s="219"/>
      <c r="AG161" s="219"/>
      <c r="AH161" s="219"/>
      <c r="AI161" s="219"/>
      <c r="AJ161" s="219"/>
      <c r="AK161" s="219"/>
      <c r="AL161" s="219"/>
      <c r="AM161" s="219"/>
      <c r="AN161" s="219"/>
      <c r="AO161" s="219"/>
      <c r="BB161" s="215"/>
      <c r="BC161" s="215"/>
      <c r="BD161" s="215"/>
      <c r="BE161" s="213"/>
      <c r="BF161" s="213"/>
      <c r="BG161" s="213"/>
      <c r="BH161" s="213"/>
    </row>
    <row r="162" spans="1:60" s="216" customFormat="1">
      <c r="A162" s="221"/>
      <c r="D162" s="312"/>
      <c r="E162" s="224"/>
      <c r="F162" s="220"/>
      <c r="G162" s="222"/>
      <c r="I162" s="217"/>
      <c r="O162" s="223"/>
      <c r="P162" s="223"/>
      <c r="R162" s="218"/>
      <c r="S162" s="218"/>
      <c r="T162" s="218"/>
      <c r="U162" s="218"/>
      <c r="V162" s="218"/>
      <c r="W162" s="218"/>
      <c r="X162" s="218"/>
      <c r="Y162" s="218"/>
      <c r="Z162" s="218"/>
      <c r="AA162" s="218"/>
      <c r="AB162" s="218"/>
      <c r="AC162" s="218"/>
      <c r="AD162" s="219"/>
      <c r="AE162" s="219"/>
      <c r="AF162" s="219"/>
      <c r="AG162" s="219"/>
      <c r="AH162" s="219"/>
      <c r="AI162" s="219"/>
      <c r="AJ162" s="219"/>
      <c r="AK162" s="219"/>
      <c r="AL162" s="219"/>
      <c r="AM162" s="219"/>
      <c r="AN162" s="219"/>
      <c r="AO162" s="219"/>
      <c r="BB162" s="215"/>
      <c r="BC162" s="215"/>
      <c r="BD162" s="215"/>
      <c r="BE162" s="213"/>
      <c r="BF162" s="213"/>
      <c r="BG162" s="213"/>
      <c r="BH162" s="213"/>
    </row>
    <row r="163" spans="1:60" s="216" customFormat="1">
      <c r="A163" s="221"/>
      <c r="D163" s="312"/>
      <c r="E163" s="224"/>
      <c r="F163" s="220"/>
      <c r="G163" s="222"/>
      <c r="I163" s="217"/>
      <c r="O163" s="223"/>
      <c r="P163" s="223"/>
      <c r="R163" s="218"/>
      <c r="S163" s="218"/>
      <c r="T163" s="218"/>
      <c r="U163" s="218"/>
      <c r="V163" s="218"/>
      <c r="W163" s="218"/>
      <c r="X163" s="218"/>
      <c r="Y163" s="218"/>
      <c r="Z163" s="218"/>
      <c r="AA163" s="218"/>
      <c r="AB163" s="218"/>
      <c r="AC163" s="218"/>
      <c r="AD163" s="219"/>
      <c r="AE163" s="219"/>
      <c r="AF163" s="219"/>
      <c r="AG163" s="219"/>
      <c r="AH163" s="219"/>
      <c r="AI163" s="219"/>
      <c r="AJ163" s="219"/>
      <c r="AK163" s="219"/>
      <c r="AL163" s="219"/>
      <c r="AM163" s="219"/>
      <c r="AN163" s="219"/>
      <c r="AO163" s="219"/>
      <c r="BB163" s="215"/>
      <c r="BC163" s="215"/>
      <c r="BD163" s="215"/>
      <c r="BE163" s="213"/>
      <c r="BF163" s="213"/>
      <c r="BG163" s="213"/>
      <c r="BH163" s="213"/>
    </row>
    <row r="164" spans="1:60" s="216" customFormat="1">
      <c r="A164" s="221"/>
      <c r="D164" s="312"/>
      <c r="E164" s="224"/>
      <c r="F164" s="220"/>
      <c r="G164" s="222"/>
      <c r="I164" s="217"/>
      <c r="O164" s="223"/>
      <c r="P164" s="223"/>
      <c r="R164" s="218"/>
      <c r="S164" s="218"/>
      <c r="T164" s="218"/>
      <c r="U164" s="218"/>
      <c r="V164" s="218"/>
      <c r="W164" s="218"/>
      <c r="X164" s="218"/>
      <c r="Y164" s="218"/>
      <c r="Z164" s="218"/>
      <c r="AA164" s="218"/>
      <c r="AB164" s="218"/>
      <c r="AC164" s="218"/>
      <c r="AD164" s="219"/>
      <c r="AE164" s="219"/>
      <c r="AF164" s="219"/>
      <c r="AG164" s="219"/>
      <c r="AH164" s="219"/>
      <c r="AI164" s="219"/>
      <c r="AJ164" s="219"/>
      <c r="AK164" s="219"/>
      <c r="AL164" s="219"/>
      <c r="AM164" s="219"/>
      <c r="AN164" s="219"/>
      <c r="AO164" s="219"/>
      <c r="BB164" s="215"/>
      <c r="BC164" s="215"/>
      <c r="BD164" s="215"/>
      <c r="BE164" s="213"/>
      <c r="BF164" s="213"/>
      <c r="BG164" s="213"/>
      <c r="BH164" s="213"/>
    </row>
    <row r="165" spans="1:60" s="216" customFormat="1">
      <c r="A165" s="221"/>
      <c r="D165" s="312"/>
      <c r="E165" s="224"/>
      <c r="F165" s="220"/>
      <c r="G165" s="222"/>
      <c r="I165" s="217"/>
      <c r="O165" s="223"/>
      <c r="P165" s="223"/>
      <c r="R165" s="218"/>
      <c r="S165" s="218"/>
      <c r="T165" s="218"/>
      <c r="U165" s="218"/>
      <c r="V165" s="218"/>
      <c r="W165" s="218"/>
      <c r="X165" s="218"/>
      <c r="Y165" s="218"/>
      <c r="Z165" s="218"/>
      <c r="AA165" s="218"/>
      <c r="AB165" s="218"/>
      <c r="AC165" s="218"/>
      <c r="AD165" s="219"/>
      <c r="AE165" s="219"/>
      <c r="AF165" s="219"/>
      <c r="AG165" s="219"/>
      <c r="AH165" s="219"/>
      <c r="AI165" s="219"/>
      <c r="AJ165" s="219"/>
      <c r="AK165" s="219"/>
      <c r="AL165" s="219"/>
      <c r="AM165" s="219"/>
      <c r="AN165" s="219"/>
      <c r="AO165" s="219"/>
      <c r="BB165" s="215"/>
      <c r="BC165" s="215"/>
      <c r="BD165" s="215"/>
      <c r="BE165" s="213"/>
      <c r="BF165" s="213"/>
      <c r="BG165" s="213"/>
      <c r="BH165" s="213"/>
    </row>
    <row r="166" spans="1:60" s="216" customFormat="1">
      <c r="A166" s="221"/>
      <c r="D166" s="312"/>
      <c r="E166" s="224"/>
      <c r="F166" s="220"/>
      <c r="G166" s="222"/>
      <c r="I166" s="217"/>
      <c r="O166" s="223"/>
      <c r="P166" s="223"/>
      <c r="R166" s="218"/>
      <c r="S166" s="218"/>
      <c r="T166" s="218"/>
      <c r="U166" s="218"/>
      <c r="V166" s="218"/>
      <c r="W166" s="218"/>
      <c r="X166" s="218"/>
      <c r="Y166" s="218"/>
      <c r="Z166" s="218"/>
      <c r="AA166" s="218"/>
      <c r="AB166" s="218"/>
      <c r="AC166" s="218"/>
      <c r="AD166" s="219"/>
      <c r="AE166" s="219"/>
      <c r="AF166" s="219"/>
      <c r="AG166" s="219"/>
      <c r="AH166" s="219"/>
      <c r="AI166" s="219"/>
      <c r="AJ166" s="219"/>
      <c r="AK166" s="219"/>
      <c r="AL166" s="219"/>
      <c r="AM166" s="219"/>
      <c r="AN166" s="219"/>
      <c r="AO166" s="219"/>
      <c r="BB166" s="215"/>
      <c r="BC166" s="215"/>
      <c r="BD166" s="215"/>
      <c r="BE166" s="213"/>
      <c r="BF166" s="213"/>
      <c r="BG166" s="213"/>
      <c r="BH166" s="213"/>
    </row>
    <row r="167" spans="1:60" s="216" customFormat="1">
      <c r="A167" s="221"/>
      <c r="D167" s="312"/>
      <c r="E167" s="224"/>
      <c r="F167" s="220"/>
      <c r="G167" s="222"/>
      <c r="I167" s="217"/>
      <c r="O167" s="223"/>
      <c r="P167" s="223"/>
      <c r="R167" s="218"/>
      <c r="S167" s="218"/>
      <c r="T167" s="218"/>
      <c r="U167" s="218"/>
      <c r="V167" s="218"/>
      <c r="W167" s="218"/>
      <c r="X167" s="218"/>
      <c r="Y167" s="218"/>
      <c r="Z167" s="218"/>
      <c r="AA167" s="218"/>
      <c r="AB167" s="218"/>
      <c r="AC167" s="218"/>
      <c r="AD167" s="219"/>
      <c r="AE167" s="219"/>
      <c r="AF167" s="219"/>
      <c r="AG167" s="219"/>
      <c r="AH167" s="219"/>
      <c r="AI167" s="219"/>
      <c r="AJ167" s="219"/>
      <c r="AK167" s="219"/>
      <c r="AL167" s="219"/>
      <c r="AM167" s="219"/>
      <c r="AN167" s="219"/>
      <c r="AO167" s="219"/>
      <c r="BB167" s="215"/>
      <c r="BC167" s="215"/>
      <c r="BD167" s="215"/>
      <c r="BE167" s="213"/>
      <c r="BF167" s="213"/>
      <c r="BG167" s="213"/>
      <c r="BH167" s="213"/>
    </row>
    <row r="168" spans="1:60" s="216" customFormat="1">
      <c r="A168" s="221"/>
      <c r="D168" s="312"/>
      <c r="E168" s="224"/>
      <c r="F168" s="220"/>
      <c r="G168" s="222"/>
      <c r="I168" s="217"/>
      <c r="O168" s="223"/>
      <c r="P168" s="223"/>
      <c r="R168" s="218"/>
      <c r="S168" s="218"/>
      <c r="T168" s="218"/>
      <c r="U168" s="218"/>
      <c r="V168" s="218"/>
      <c r="W168" s="218"/>
      <c r="X168" s="218"/>
      <c r="Y168" s="218"/>
      <c r="Z168" s="218"/>
      <c r="AA168" s="218"/>
      <c r="AB168" s="218"/>
      <c r="AC168" s="218"/>
      <c r="AD168" s="219"/>
      <c r="AE168" s="219"/>
      <c r="AF168" s="219"/>
      <c r="AG168" s="219"/>
      <c r="AH168" s="219"/>
      <c r="AI168" s="219"/>
      <c r="AJ168" s="219"/>
      <c r="AK168" s="219"/>
      <c r="AL168" s="219"/>
      <c r="AM168" s="219"/>
      <c r="AN168" s="219"/>
      <c r="AO168" s="219"/>
      <c r="BB168" s="215"/>
      <c r="BC168" s="215"/>
      <c r="BD168" s="215"/>
      <c r="BE168" s="213"/>
      <c r="BF168" s="213"/>
      <c r="BG168" s="213"/>
      <c r="BH168" s="213"/>
    </row>
    <row r="169" spans="1:60" s="216" customFormat="1">
      <c r="A169" s="221"/>
      <c r="D169" s="312"/>
      <c r="E169" s="224"/>
      <c r="F169" s="220"/>
      <c r="G169" s="222"/>
      <c r="I169" s="217"/>
      <c r="O169" s="223"/>
      <c r="P169" s="223"/>
      <c r="R169" s="218"/>
      <c r="S169" s="218"/>
      <c r="T169" s="218"/>
      <c r="U169" s="218"/>
      <c r="V169" s="218"/>
      <c r="W169" s="218"/>
      <c r="X169" s="218"/>
      <c r="Y169" s="218"/>
      <c r="Z169" s="218"/>
      <c r="AA169" s="218"/>
      <c r="AB169" s="218"/>
      <c r="AC169" s="218"/>
      <c r="AD169" s="219"/>
      <c r="AE169" s="219"/>
      <c r="AF169" s="219"/>
      <c r="AG169" s="219"/>
      <c r="AH169" s="219"/>
      <c r="AI169" s="219"/>
      <c r="AJ169" s="219"/>
      <c r="AK169" s="219"/>
      <c r="AL169" s="219"/>
      <c r="AM169" s="219"/>
      <c r="AN169" s="219"/>
      <c r="AO169" s="219"/>
      <c r="BB169" s="215"/>
      <c r="BC169" s="215"/>
      <c r="BD169" s="215"/>
      <c r="BE169" s="213"/>
      <c r="BF169" s="213"/>
      <c r="BG169" s="213"/>
      <c r="BH169" s="213"/>
    </row>
    <row r="170" spans="1:60" s="216" customFormat="1">
      <c r="A170" s="221"/>
      <c r="D170" s="312"/>
      <c r="E170" s="224"/>
      <c r="F170" s="220"/>
      <c r="G170" s="222"/>
      <c r="I170" s="217"/>
      <c r="O170" s="223"/>
      <c r="P170" s="223"/>
      <c r="R170" s="218"/>
      <c r="S170" s="218"/>
      <c r="T170" s="218"/>
      <c r="U170" s="218"/>
      <c r="V170" s="218"/>
      <c r="W170" s="218"/>
      <c r="X170" s="218"/>
      <c r="Y170" s="218"/>
      <c r="Z170" s="218"/>
      <c r="AA170" s="218"/>
      <c r="AB170" s="218"/>
      <c r="AC170" s="218"/>
      <c r="AD170" s="219"/>
      <c r="AE170" s="219"/>
      <c r="AF170" s="219"/>
      <c r="AG170" s="219"/>
      <c r="AH170" s="219"/>
      <c r="AI170" s="219"/>
      <c r="AJ170" s="219"/>
      <c r="AK170" s="219"/>
      <c r="AL170" s="219"/>
      <c r="AM170" s="219"/>
      <c r="AN170" s="219"/>
      <c r="AO170" s="219"/>
      <c r="BB170" s="215"/>
      <c r="BC170" s="215"/>
      <c r="BD170" s="215"/>
      <c r="BE170" s="213"/>
      <c r="BF170" s="213"/>
      <c r="BG170" s="213"/>
      <c r="BH170" s="213"/>
    </row>
    <row r="171" spans="1:60" s="216" customFormat="1">
      <c r="A171" s="221"/>
      <c r="D171" s="312"/>
      <c r="E171" s="224"/>
      <c r="F171" s="220"/>
      <c r="G171" s="222"/>
      <c r="I171" s="217"/>
      <c r="O171" s="223"/>
      <c r="P171" s="223"/>
      <c r="R171" s="218"/>
      <c r="S171" s="218"/>
      <c r="T171" s="218"/>
      <c r="U171" s="218"/>
      <c r="V171" s="218"/>
      <c r="W171" s="218"/>
      <c r="X171" s="218"/>
      <c r="Y171" s="218"/>
      <c r="Z171" s="218"/>
      <c r="AA171" s="218"/>
      <c r="AB171" s="218"/>
      <c r="AC171" s="218"/>
      <c r="AD171" s="219"/>
      <c r="AE171" s="219"/>
      <c r="AF171" s="219"/>
      <c r="AG171" s="219"/>
      <c r="AH171" s="219"/>
      <c r="AI171" s="219"/>
      <c r="AJ171" s="219"/>
      <c r="AK171" s="219"/>
      <c r="AL171" s="219"/>
      <c r="AM171" s="219"/>
      <c r="AN171" s="219"/>
      <c r="AO171" s="219"/>
      <c r="BB171" s="215"/>
      <c r="BC171" s="215"/>
      <c r="BD171" s="215"/>
      <c r="BE171" s="213"/>
      <c r="BF171" s="213"/>
      <c r="BG171" s="213"/>
      <c r="BH171" s="213"/>
    </row>
    <row r="172" spans="1:60" s="216" customFormat="1">
      <c r="A172" s="221"/>
      <c r="D172" s="312"/>
      <c r="E172" s="224"/>
      <c r="F172" s="220"/>
      <c r="G172" s="222"/>
      <c r="I172" s="217"/>
      <c r="O172" s="223"/>
      <c r="P172" s="223"/>
      <c r="R172" s="218"/>
      <c r="S172" s="218"/>
      <c r="T172" s="218"/>
      <c r="U172" s="218"/>
      <c r="V172" s="218"/>
      <c r="W172" s="218"/>
      <c r="X172" s="218"/>
      <c r="Y172" s="218"/>
      <c r="Z172" s="218"/>
      <c r="AA172" s="218"/>
      <c r="AB172" s="218"/>
      <c r="AC172" s="218"/>
      <c r="AD172" s="219"/>
      <c r="AE172" s="219"/>
      <c r="AF172" s="219"/>
      <c r="AG172" s="219"/>
      <c r="AH172" s="219"/>
      <c r="AI172" s="219"/>
      <c r="AJ172" s="219"/>
      <c r="AK172" s="219"/>
      <c r="AL172" s="219"/>
      <c r="AM172" s="219"/>
      <c r="AN172" s="219"/>
      <c r="AO172" s="219"/>
      <c r="BB172" s="215"/>
      <c r="BC172" s="215"/>
      <c r="BD172" s="215"/>
      <c r="BE172" s="213"/>
      <c r="BF172" s="213"/>
      <c r="BG172" s="213"/>
      <c r="BH172" s="213"/>
    </row>
    <row r="173" spans="1:60" s="216" customFormat="1">
      <c r="A173" s="221"/>
      <c r="D173" s="312"/>
      <c r="E173" s="224"/>
      <c r="F173" s="220"/>
      <c r="G173" s="222"/>
      <c r="I173" s="217"/>
      <c r="O173" s="223"/>
      <c r="P173" s="223"/>
      <c r="R173" s="218"/>
      <c r="S173" s="218"/>
      <c r="T173" s="218"/>
      <c r="U173" s="218"/>
      <c r="V173" s="218"/>
      <c r="W173" s="218"/>
      <c r="X173" s="218"/>
      <c r="Y173" s="218"/>
      <c r="Z173" s="218"/>
      <c r="AA173" s="218"/>
      <c r="AB173" s="218"/>
      <c r="AC173" s="218"/>
      <c r="AD173" s="219"/>
      <c r="AE173" s="219"/>
      <c r="AF173" s="219"/>
      <c r="AG173" s="219"/>
      <c r="AH173" s="219"/>
      <c r="AI173" s="219"/>
      <c r="AJ173" s="219"/>
      <c r="AK173" s="219"/>
      <c r="AL173" s="219"/>
      <c r="AM173" s="219"/>
      <c r="AN173" s="219"/>
      <c r="AO173" s="219"/>
      <c r="BB173" s="215"/>
      <c r="BC173" s="215"/>
      <c r="BD173" s="215"/>
      <c r="BE173" s="213"/>
      <c r="BF173" s="213"/>
      <c r="BG173" s="213"/>
      <c r="BH173" s="213"/>
    </row>
    <row r="174" spans="1:60" s="216" customFormat="1">
      <c r="A174" s="221"/>
      <c r="D174" s="312"/>
      <c r="E174" s="224"/>
      <c r="F174" s="220"/>
      <c r="G174" s="222"/>
      <c r="I174" s="217"/>
      <c r="O174" s="223"/>
      <c r="P174" s="223"/>
      <c r="R174" s="218"/>
      <c r="S174" s="218"/>
      <c r="T174" s="218"/>
      <c r="U174" s="218"/>
      <c r="V174" s="218"/>
      <c r="W174" s="218"/>
      <c r="X174" s="218"/>
      <c r="Y174" s="218"/>
      <c r="Z174" s="218"/>
      <c r="AA174" s="218"/>
      <c r="AB174" s="218"/>
      <c r="AC174" s="218"/>
      <c r="AD174" s="219"/>
      <c r="AE174" s="219"/>
      <c r="AF174" s="219"/>
      <c r="AG174" s="219"/>
      <c r="AH174" s="219"/>
      <c r="AI174" s="219"/>
      <c r="AJ174" s="219"/>
      <c r="AK174" s="219"/>
      <c r="AL174" s="219"/>
      <c r="AM174" s="219"/>
      <c r="AN174" s="219"/>
      <c r="AO174" s="219"/>
      <c r="BB174" s="215"/>
      <c r="BC174" s="215"/>
      <c r="BD174" s="215"/>
      <c r="BE174" s="213"/>
      <c r="BF174" s="213"/>
      <c r="BG174" s="213"/>
      <c r="BH174" s="213"/>
    </row>
    <row r="175" spans="1:60" s="216" customFormat="1">
      <c r="A175" s="221"/>
      <c r="D175" s="312"/>
      <c r="E175" s="224"/>
      <c r="F175" s="220"/>
      <c r="G175" s="222"/>
      <c r="I175" s="217"/>
      <c r="O175" s="223"/>
      <c r="P175" s="223"/>
      <c r="R175" s="218"/>
      <c r="S175" s="218"/>
      <c r="T175" s="218"/>
      <c r="U175" s="218"/>
      <c r="V175" s="218"/>
      <c r="W175" s="218"/>
      <c r="X175" s="218"/>
      <c r="Y175" s="218"/>
      <c r="Z175" s="218"/>
      <c r="AA175" s="218"/>
      <c r="AB175" s="218"/>
      <c r="AC175" s="218"/>
      <c r="AD175" s="219"/>
      <c r="AE175" s="219"/>
      <c r="AF175" s="219"/>
      <c r="AG175" s="219"/>
      <c r="AH175" s="219"/>
      <c r="AI175" s="219"/>
      <c r="AJ175" s="219"/>
      <c r="AK175" s="219"/>
      <c r="AL175" s="219"/>
      <c r="AM175" s="219"/>
      <c r="AN175" s="219"/>
      <c r="AO175" s="219"/>
      <c r="BB175" s="215"/>
      <c r="BC175" s="215"/>
      <c r="BD175" s="215"/>
      <c r="BE175" s="213"/>
      <c r="BF175" s="213"/>
      <c r="BG175" s="213"/>
      <c r="BH175" s="213"/>
    </row>
    <row r="176" spans="1:60" s="216" customFormat="1">
      <c r="A176" s="221"/>
      <c r="D176" s="312"/>
      <c r="E176" s="224"/>
      <c r="F176" s="220"/>
      <c r="G176" s="222"/>
      <c r="I176" s="217"/>
      <c r="O176" s="223"/>
      <c r="P176" s="223"/>
      <c r="R176" s="218"/>
      <c r="S176" s="218"/>
      <c r="T176" s="218"/>
      <c r="U176" s="218"/>
      <c r="V176" s="218"/>
      <c r="W176" s="218"/>
      <c r="X176" s="218"/>
      <c r="Y176" s="218"/>
      <c r="Z176" s="218"/>
      <c r="AA176" s="218"/>
      <c r="AB176" s="218"/>
      <c r="AC176" s="218"/>
      <c r="AD176" s="219"/>
      <c r="AE176" s="219"/>
      <c r="AF176" s="219"/>
      <c r="AG176" s="219"/>
      <c r="AH176" s="219"/>
      <c r="AI176" s="219"/>
      <c r="AJ176" s="219"/>
      <c r="AK176" s="219"/>
      <c r="AL176" s="219"/>
      <c r="AM176" s="219"/>
      <c r="AN176" s="219"/>
      <c r="AO176" s="219"/>
      <c r="BB176" s="215"/>
      <c r="BC176" s="215"/>
      <c r="BD176" s="215"/>
      <c r="BE176" s="213"/>
      <c r="BF176" s="213"/>
      <c r="BG176" s="213"/>
      <c r="BH176" s="213"/>
    </row>
    <row r="177" spans="1:60" s="216" customFormat="1">
      <c r="A177" s="221"/>
      <c r="D177" s="312"/>
      <c r="E177" s="224"/>
      <c r="F177" s="220"/>
      <c r="G177" s="222"/>
      <c r="I177" s="217"/>
      <c r="O177" s="223"/>
      <c r="P177" s="223"/>
      <c r="R177" s="218"/>
      <c r="S177" s="218"/>
      <c r="T177" s="218"/>
      <c r="U177" s="218"/>
      <c r="V177" s="218"/>
      <c r="W177" s="218"/>
      <c r="X177" s="218"/>
      <c r="Y177" s="218"/>
      <c r="Z177" s="218"/>
      <c r="AA177" s="218"/>
      <c r="AB177" s="218"/>
      <c r="AC177" s="218"/>
      <c r="AD177" s="219"/>
      <c r="AE177" s="219"/>
      <c r="AF177" s="219"/>
      <c r="AG177" s="219"/>
      <c r="AH177" s="219"/>
      <c r="AI177" s="219"/>
      <c r="AJ177" s="219"/>
      <c r="AK177" s="219"/>
      <c r="AL177" s="219"/>
      <c r="AM177" s="219"/>
      <c r="AN177" s="219"/>
      <c r="AO177" s="219"/>
      <c r="BB177" s="215"/>
      <c r="BC177" s="215"/>
      <c r="BD177" s="215"/>
      <c r="BE177" s="213"/>
      <c r="BF177" s="213"/>
      <c r="BG177" s="213"/>
      <c r="BH177" s="213"/>
    </row>
    <row r="178" spans="1:60" s="216" customFormat="1">
      <c r="A178" s="221"/>
      <c r="D178" s="312"/>
      <c r="E178" s="224"/>
      <c r="F178" s="220"/>
      <c r="G178" s="222"/>
      <c r="I178" s="217"/>
      <c r="O178" s="223"/>
      <c r="P178" s="223"/>
      <c r="R178" s="218"/>
      <c r="S178" s="218"/>
      <c r="T178" s="218"/>
      <c r="U178" s="218"/>
      <c r="V178" s="218"/>
      <c r="W178" s="218"/>
      <c r="X178" s="218"/>
      <c r="Y178" s="218"/>
      <c r="Z178" s="218"/>
      <c r="AA178" s="218"/>
      <c r="AB178" s="218"/>
      <c r="AC178" s="218"/>
      <c r="AD178" s="219"/>
      <c r="AE178" s="219"/>
      <c r="AF178" s="219"/>
      <c r="AG178" s="219"/>
      <c r="AH178" s="219"/>
      <c r="AI178" s="219"/>
      <c r="AJ178" s="219"/>
      <c r="AK178" s="219"/>
      <c r="AL178" s="219"/>
      <c r="AM178" s="219"/>
      <c r="AN178" s="219"/>
      <c r="AO178" s="219"/>
      <c r="BB178" s="215"/>
      <c r="BC178" s="215"/>
      <c r="BD178" s="215"/>
      <c r="BE178" s="213"/>
      <c r="BF178" s="213"/>
      <c r="BG178" s="213"/>
      <c r="BH178" s="213"/>
    </row>
    <row r="179" spans="1:60" s="216" customFormat="1">
      <c r="A179" s="221"/>
      <c r="D179" s="312"/>
      <c r="E179" s="224"/>
      <c r="F179" s="220"/>
      <c r="G179" s="222"/>
      <c r="I179" s="217"/>
      <c r="O179" s="223"/>
      <c r="P179" s="223"/>
      <c r="R179" s="218"/>
      <c r="S179" s="218"/>
      <c r="T179" s="218"/>
      <c r="U179" s="218"/>
      <c r="V179" s="218"/>
      <c r="W179" s="218"/>
      <c r="X179" s="218"/>
      <c r="Y179" s="218"/>
      <c r="Z179" s="218"/>
      <c r="AA179" s="218"/>
      <c r="AB179" s="218"/>
      <c r="AC179" s="218"/>
      <c r="AD179" s="219"/>
      <c r="AE179" s="219"/>
      <c r="AF179" s="219"/>
      <c r="AG179" s="219"/>
      <c r="AH179" s="219"/>
      <c r="AI179" s="219"/>
      <c r="AJ179" s="219"/>
      <c r="AK179" s="219"/>
      <c r="AL179" s="219"/>
      <c r="AM179" s="219"/>
      <c r="AN179" s="219"/>
      <c r="AO179" s="219"/>
      <c r="BB179" s="215"/>
      <c r="BC179" s="215"/>
      <c r="BD179" s="215"/>
      <c r="BE179" s="213"/>
      <c r="BF179" s="213"/>
      <c r="BG179" s="213"/>
      <c r="BH179" s="213"/>
    </row>
    <row r="180" spans="1:60" s="216" customFormat="1">
      <c r="A180" s="221"/>
      <c r="D180" s="312"/>
      <c r="E180" s="224"/>
      <c r="F180" s="220"/>
      <c r="G180" s="222"/>
      <c r="I180" s="217"/>
      <c r="O180" s="223"/>
      <c r="P180" s="223"/>
      <c r="R180" s="218"/>
      <c r="S180" s="218"/>
      <c r="T180" s="218"/>
      <c r="U180" s="218"/>
      <c r="V180" s="218"/>
      <c r="W180" s="218"/>
      <c r="X180" s="218"/>
      <c r="Y180" s="218"/>
      <c r="Z180" s="218"/>
      <c r="AA180" s="218"/>
      <c r="AB180" s="218"/>
      <c r="AC180" s="218"/>
      <c r="AD180" s="219"/>
      <c r="AE180" s="219"/>
      <c r="AF180" s="219"/>
      <c r="AG180" s="219"/>
      <c r="AH180" s="219"/>
      <c r="AI180" s="219"/>
      <c r="AJ180" s="219"/>
      <c r="AK180" s="219"/>
      <c r="AL180" s="219"/>
      <c r="AM180" s="219"/>
      <c r="AN180" s="219"/>
      <c r="AO180" s="219"/>
      <c r="BB180" s="215"/>
      <c r="BC180" s="215"/>
      <c r="BD180" s="215"/>
      <c r="BE180" s="213"/>
      <c r="BF180" s="213"/>
      <c r="BG180" s="213"/>
      <c r="BH180" s="213"/>
    </row>
    <row r="181" spans="1:60" s="216" customFormat="1">
      <c r="A181" s="221"/>
      <c r="D181" s="312"/>
      <c r="E181" s="224"/>
      <c r="F181" s="220"/>
      <c r="G181" s="222"/>
      <c r="I181" s="217"/>
      <c r="O181" s="223"/>
      <c r="P181" s="223"/>
      <c r="R181" s="218"/>
      <c r="S181" s="218"/>
      <c r="T181" s="218"/>
      <c r="U181" s="218"/>
      <c r="V181" s="218"/>
      <c r="W181" s="218"/>
      <c r="X181" s="218"/>
      <c r="Y181" s="218"/>
      <c r="Z181" s="218"/>
      <c r="AA181" s="218"/>
      <c r="AB181" s="218"/>
      <c r="AC181" s="218"/>
      <c r="AD181" s="219"/>
      <c r="AE181" s="219"/>
      <c r="AF181" s="219"/>
      <c r="AG181" s="219"/>
      <c r="AH181" s="219"/>
      <c r="AI181" s="219"/>
      <c r="AJ181" s="219"/>
      <c r="AK181" s="219"/>
      <c r="AL181" s="219"/>
      <c r="AM181" s="219"/>
      <c r="AN181" s="219"/>
      <c r="AO181" s="219"/>
      <c r="BB181" s="215"/>
      <c r="BC181" s="215"/>
      <c r="BD181" s="215"/>
      <c r="BE181" s="213"/>
      <c r="BF181" s="213"/>
      <c r="BG181" s="213"/>
      <c r="BH181" s="213"/>
    </row>
    <row r="182" spans="1:60" s="216" customFormat="1">
      <c r="A182" s="221"/>
      <c r="D182" s="312"/>
      <c r="E182" s="224"/>
      <c r="F182" s="220"/>
      <c r="G182" s="222"/>
      <c r="I182" s="217"/>
      <c r="O182" s="223"/>
      <c r="P182" s="223"/>
      <c r="R182" s="218"/>
      <c r="S182" s="218"/>
      <c r="T182" s="218"/>
      <c r="U182" s="218"/>
      <c r="V182" s="218"/>
      <c r="W182" s="218"/>
      <c r="X182" s="218"/>
      <c r="Y182" s="218"/>
      <c r="Z182" s="218"/>
      <c r="AA182" s="218"/>
      <c r="AB182" s="218"/>
      <c r="AC182" s="218"/>
      <c r="AD182" s="219"/>
      <c r="AE182" s="219"/>
      <c r="AF182" s="219"/>
      <c r="AG182" s="219"/>
      <c r="AH182" s="219"/>
      <c r="AI182" s="219"/>
      <c r="AJ182" s="219"/>
      <c r="AK182" s="219"/>
      <c r="AL182" s="219"/>
      <c r="AM182" s="219"/>
      <c r="AN182" s="219"/>
      <c r="AO182" s="219"/>
      <c r="BB182" s="215"/>
      <c r="BC182" s="215"/>
      <c r="BD182" s="215"/>
      <c r="BE182" s="213"/>
      <c r="BF182" s="213"/>
      <c r="BG182" s="213"/>
      <c r="BH182" s="213"/>
    </row>
    <row r="183" spans="1:60" s="216" customFormat="1">
      <c r="A183" s="221"/>
      <c r="D183" s="312"/>
      <c r="E183" s="224"/>
      <c r="F183" s="220"/>
      <c r="G183" s="222"/>
      <c r="I183" s="217"/>
      <c r="O183" s="223"/>
      <c r="P183" s="223"/>
      <c r="R183" s="218"/>
      <c r="S183" s="218"/>
      <c r="T183" s="218"/>
      <c r="U183" s="218"/>
      <c r="V183" s="218"/>
      <c r="W183" s="218"/>
      <c r="X183" s="218"/>
      <c r="Y183" s="218"/>
      <c r="Z183" s="218"/>
      <c r="AA183" s="218"/>
      <c r="AB183" s="218"/>
      <c r="AC183" s="218"/>
      <c r="AD183" s="219"/>
      <c r="AE183" s="219"/>
      <c r="AF183" s="219"/>
      <c r="AG183" s="219"/>
      <c r="AH183" s="219"/>
      <c r="AI183" s="219"/>
      <c r="AJ183" s="219"/>
      <c r="AK183" s="219"/>
      <c r="AL183" s="219"/>
      <c r="AM183" s="219"/>
      <c r="AN183" s="219"/>
      <c r="AO183" s="219"/>
      <c r="BB183" s="215"/>
      <c r="BC183" s="215"/>
      <c r="BD183" s="215"/>
      <c r="BE183" s="213"/>
      <c r="BF183" s="213"/>
      <c r="BG183" s="213"/>
      <c r="BH183" s="213"/>
    </row>
    <row r="184" spans="1:60" s="216" customFormat="1">
      <c r="A184" s="221"/>
      <c r="D184" s="312"/>
      <c r="E184" s="224"/>
      <c r="F184" s="220"/>
      <c r="G184" s="222"/>
      <c r="I184" s="217"/>
      <c r="O184" s="223"/>
      <c r="P184" s="223"/>
      <c r="R184" s="218"/>
      <c r="S184" s="218"/>
      <c r="T184" s="218"/>
      <c r="U184" s="218"/>
      <c r="V184" s="218"/>
      <c r="W184" s="218"/>
      <c r="X184" s="218"/>
      <c r="Y184" s="218"/>
      <c r="Z184" s="218"/>
      <c r="AA184" s="218"/>
      <c r="AB184" s="218"/>
      <c r="AC184" s="218"/>
      <c r="AD184" s="219"/>
      <c r="AE184" s="219"/>
      <c r="AF184" s="219"/>
      <c r="AG184" s="219"/>
      <c r="AH184" s="219"/>
      <c r="AI184" s="219"/>
      <c r="AJ184" s="219"/>
      <c r="AK184" s="219"/>
      <c r="AL184" s="219"/>
      <c r="AM184" s="219"/>
      <c r="AN184" s="219"/>
      <c r="AO184" s="219"/>
      <c r="BB184" s="215"/>
      <c r="BC184" s="215"/>
      <c r="BD184" s="215"/>
      <c r="BE184" s="213"/>
      <c r="BF184" s="213"/>
      <c r="BG184" s="213"/>
      <c r="BH184" s="213"/>
    </row>
    <row r="185" spans="1:60" s="216" customFormat="1">
      <c r="A185" s="221"/>
      <c r="D185" s="312"/>
      <c r="E185" s="224"/>
      <c r="F185" s="220"/>
      <c r="G185" s="222"/>
      <c r="I185" s="217"/>
      <c r="O185" s="223"/>
      <c r="P185" s="223"/>
      <c r="R185" s="218"/>
      <c r="S185" s="218"/>
      <c r="T185" s="218"/>
      <c r="U185" s="218"/>
      <c r="V185" s="218"/>
      <c r="W185" s="218"/>
      <c r="X185" s="218"/>
      <c r="Y185" s="218"/>
      <c r="Z185" s="218"/>
      <c r="AA185" s="218"/>
      <c r="AB185" s="218"/>
      <c r="AC185" s="218"/>
      <c r="AD185" s="219"/>
      <c r="AE185" s="219"/>
      <c r="AF185" s="219"/>
      <c r="AG185" s="219"/>
      <c r="AH185" s="219"/>
      <c r="AI185" s="219"/>
      <c r="AJ185" s="219"/>
      <c r="AK185" s="219"/>
      <c r="AL185" s="219"/>
      <c r="AM185" s="219"/>
      <c r="AN185" s="219"/>
      <c r="AO185" s="219"/>
      <c r="BB185" s="215"/>
      <c r="BC185" s="215"/>
      <c r="BD185" s="215"/>
      <c r="BE185" s="213"/>
      <c r="BF185" s="213"/>
      <c r="BG185" s="213"/>
      <c r="BH185" s="213"/>
    </row>
    <row r="186" spans="1:60" s="216" customFormat="1">
      <c r="A186" s="221"/>
      <c r="D186" s="312"/>
      <c r="E186" s="224"/>
      <c r="F186" s="220"/>
      <c r="G186" s="222"/>
      <c r="I186" s="217"/>
      <c r="O186" s="223"/>
      <c r="P186" s="223"/>
      <c r="R186" s="218"/>
      <c r="S186" s="218"/>
      <c r="T186" s="218"/>
      <c r="U186" s="218"/>
      <c r="V186" s="218"/>
      <c r="W186" s="218"/>
      <c r="X186" s="218"/>
      <c r="Y186" s="218"/>
      <c r="Z186" s="218"/>
      <c r="AA186" s="218"/>
      <c r="AB186" s="218"/>
      <c r="AC186" s="218"/>
      <c r="AD186" s="219"/>
      <c r="AE186" s="219"/>
      <c r="AF186" s="219"/>
      <c r="AG186" s="219"/>
      <c r="AH186" s="219"/>
      <c r="AI186" s="219"/>
      <c r="AJ186" s="219"/>
      <c r="AK186" s="219"/>
      <c r="AL186" s="219"/>
      <c r="AM186" s="219"/>
      <c r="AN186" s="219"/>
      <c r="AO186" s="219"/>
      <c r="BB186" s="215"/>
      <c r="BC186" s="215"/>
      <c r="BD186" s="215"/>
      <c r="BE186" s="213"/>
      <c r="BF186" s="213"/>
      <c r="BG186" s="213"/>
      <c r="BH186" s="213"/>
    </row>
    <row r="187" spans="1:60" s="216" customFormat="1">
      <c r="A187" s="221"/>
      <c r="D187" s="312"/>
      <c r="E187" s="224"/>
      <c r="F187" s="220"/>
      <c r="G187" s="222"/>
      <c r="I187" s="217"/>
      <c r="O187" s="223"/>
      <c r="P187" s="223"/>
      <c r="R187" s="218"/>
      <c r="S187" s="218"/>
      <c r="T187" s="218"/>
      <c r="U187" s="218"/>
      <c r="V187" s="218"/>
      <c r="W187" s="218"/>
      <c r="X187" s="218"/>
      <c r="Y187" s="218"/>
      <c r="Z187" s="218"/>
      <c r="AA187" s="218"/>
      <c r="AB187" s="218"/>
      <c r="AC187" s="218"/>
      <c r="AD187" s="219"/>
      <c r="AE187" s="219"/>
      <c r="AF187" s="219"/>
      <c r="AG187" s="219"/>
      <c r="AH187" s="219"/>
      <c r="AI187" s="219"/>
      <c r="AJ187" s="219"/>
      <c r="AK187" s="219"/>
      <c r="AL187" s="219"/>
      <c r="AM187" s="219"/>
      <c r="AN187" s="219"/>
      <c r="AO187" s="219"/>
      <c r="BB187" s="215"/>
      <c r="BC187" s="215"/>
      <c r="BD187" s="215"/>
      <c r="BE187" s="213"/>
      <c r="BF187" s="213"/>
      <c r="BG187" s="213"/>
      <c r="BH187" s="213"/>
    </row>
    <row r="188" spans="1:60" s="216" customFormat="1">
      <c r="A188" s="221"/>
      <c r="D188" s="312"/>
      <c r="E188" s="224"/>
      <c r="F188" s="220"/>
      <c r="G188" s="222"/>
      <c r="I188" s="217"/>
      <c r="O188" s="223"/>
      <c r="P188" s="223"/>
      <c r="R188" s="218"/>
      <c r="S188" s="218"/>
      <c r="T188" s="218"/>
      <c r="U188" s="218"/>
      <c r="V188" s="218"/>
      <c r="W188" s="218"/>
      <c r="X188" s="218"/>
      <c r="Y188" s="218"/>
      <c r="Z188" s="218"/>
      <c r="AA188" s="218"/>
      <c r="AB188" s="218"/>
      <c r="AC188" s="218"/>
      <c r="AD188" s="219"/>
      <c r="AE188" s="219"/>
      <c r="AF188" s="219"/>
      <c r="AG188" s="219"/>
      <c r="AH188" s="219"/>
      <c r="AI188" s="219"/>
      <c r="AJ188" s="219"/>
      <c r="AK188" s="219"/>
      <c r="AL188" s="219"/>
      <c r="AM188" s="219"/>
      <c r="AN188" s="219"/>
      <c r="AO188" s="219"/>
      <c r="BB188" s="215"/>
      <c r="BC188" s="215"/>
      <c r="BD188" s="215"/>
      <c r="BE188" s="213"/>
      <c r="BF188" s="213"/>
      <c r="BG188" s="213"/>
      <c r="BH188" s="213"/>
    </row>
    <row r="189" spans="1:60" s="216" customFormat="1">
      <c r="A189" s="221"/>
      <c r="D189" s="312"/>
      <c r="E189" s="224"/>
      <c r="F189" s="220"/>
      <c r="G189" s="222"/>
      <c r="I189" s="217"/>
      <c r="O189" s="223"/>
      <c r="P189" s="223"/>
      <c r="R189" s="218"/>
      <c r="S189" s="218"/>
      <c r="T189" s="218"/>
      <c r="U189" s="218"/>
      <c r="V189" s="218"/>
      <c r="W189" s="218"/>
      <c r="X189" s="218"/>
      <c r="Y189" s="218"/>
      <c r="Z189" s="218"/>
      <c r="AA189" s="218"/>
      <c r="AB189" s="218"/>
      <c r="AC189" s="218"/>
      <c r="AD189" s="219"/>
      <c r="AE189" s="219"/>
      <c r="AF189" s="219"/>
      <c r="AG189" s="219"/>
      <c r="AH189" s="219"/>
      <c r="AI189" s="219"/>
      <c r="AJ189" s="219"/>
      <c r="AK189" s="219"/>
      <c r="AL189" s="219"/>
      <c r="AM189" s="219"/>
      <c r="AN189" s="219"/>
      <c r="AO189" s="219"/>
      <c r="BB189" s="215"/>
      <c r="BC189" s="215"/>
      <c r="BD189" s="215"/>
      <c r="BE189" s="213"/>
      <c r="BF189" s="213"/>
      <c r="BG189" s="213"/>
      <c r="BH189" s="213"/>
    </row>
    <row r="190" spans="1:60" s="216" customFormat="1">
      <c r="A190" s="221"/>
      <c r="D190" s="312"/>
      <c r="E190" s="224"/>
      <c r="F190" s="220"/>
      <c r="G190" s="222"/>
      <c r="I190" s="217"/>
      <c r="O190" s="223"/>
      <c r="P190" s="223"/>
      <c r="R190" s="218"/>
      <c r="S190" s="218"/>
      <c r="T190" s="218"/>
      <c r="U190" s="218"/>
      <c r="V190" s="218"/>
      <c r="W190" s="218"/>
      <c r="X190" s="218"/>
      <c r="Y190" s="218"/>
      <c r="Z190" s="218"/>
      <c r="AA190" s="218"/>
      <c r="AB190" s="218"/>
      <c r="AC190" s="218"/>
      <c r="AD190" s="219"/>
      <c r="AE190" s="219"/>
      <c r="AF190" s="219"/>
      <c r="AG190" s="219"/>
      <c r="AH190" s="219"/>
      <c r="AI190" s="219"/>
      <c r="AJ190" s="219"/>
      <c r="AK190" s="219"/>
      <c r="AL190" s="219"/>
      <c r="AM190" s="219"/>
      <c r="AN190" s="219"/>
      <c r="AO190" s="219"/>
      <c r="BB190" s="215"/>
      <c r="BC190" s="215"/>
      <c r="BD190" s="215"/>
      <c r="BE190" s="213"/>
      <c r="BF190" s="213"/>
      <c r="BG190" s="213"/>
      <c r="BH190" s="213"/>
    </row>
    <row r="191" spans="1:60" s="216" customFormat="1">
      <c r="A191" s="221"/>
      <c r="D191" s="312"/>
      <c r="E191" s="224"/>
      <c r="F191" s="220"/>
      <c r="G191" s="222"/>
      <c r="I191" s="217"/>
      <c r="O191" s="223"/>
      <c r="P191" s="223"/>
      <c r="R191" s="218"/>
      <c r="S191" s="218"/>
      <c r="T191" s="218"/>
      <c r="U191" s="218"/>
      <c r="V191" s="218"/>
      <c r="W191" s="218"/>
      <c r="X191" s="218"/>
      <c r="Y191" s="218"/>
      <c r="Z191" s="218"/>
      <c r="AA191" s="218"/>
      <c r="AB191" s="218"/>
      <c r="AC191" s="218"/>
      <c r="AD191" s="219"/>
      <c r="AE191" s="219"/>
      <c r="AF191" s="219"/>
      <c r="AG191" s="219"/>
      <c r="AH191" s="219"/>
      <c r="AI191" s="219"/>
      <c r="AJ191" s="219"/>
      <c r="AK191" s="219"/>
      <c r="AL191" s="219"/>
      <c r="AM191" s="219"/>
      <c r="AN191" s="219"/>
      <c r="AO191" s="219"/>
      <c r="BB191" s="215"/>
      <c r="BC191" s="215"/>
      <c r="BD191" s="215"/>
      <c r="BE191" s="213"/>
      <c r="BF191" s="213"/>
      <c r="BG191" s="213"/>
      <c r="BH191" s="213"/>
    </row>
    <row r="192" spans="1:60" s="216" customFormat="1">
      <c r="A192" s="221"/>
      <c r="D192" s="312"/>
      <c r="E192" s="224"/>
      <c r="F192" s="220"/>
      <c r="G192" s="222"/>
      <c r="I192" s="217"/>
      <c r="O192" s="223"/>
      <c r="P192" s="223"/>
      <c r="R192" s="218"/>
      <c r="S192" s="218"/>
      <c r="T192" s="218"/>
      <c r="U192" s="218"/>
      <c r="V192" s="218"/>
      <c r="W192" s="218"/>
      <c r="X192" s="218"/>
      <c r="Y192" s="218"/>
      <c r="Z192" s="218"/>
      <c r="AA192" s="218"/>
      <c r="AB192" s="218"/>
      <c r="AC192" s="218"/>
      <c r="AD192" s="219"/>
      <c r="AE192" s="219"/>
      <c r="AF192" s="219"/>
      <c r="AG192" s="219"/>
      <c r="AH192" s="219"/>
      <c r="AI192" s="219"/>
      <c r="AJ192" s="219"/>
      <c r="AK192" s="219"/>
      <c r="AL192" s="219"/>
      <c r="AM192" s="219"/>
      <c r="AN192" s="219"/>
      <c r="AO192" s="219"/>
      <c r="BB192" s="215"/>
      <c r="BC192" s="215"/>
      <c r="BD192" s="215"/>
      <c r="BE192" s="213"/>
      <c r="BF192" s="213"/>
      <c r="BG192" s="213"/>
      <c r="BH192" s="213"/>
    </row>
    <row r="193" spans="1:60" s="216" customFormat="1">
      <c r="A193" s="221"/>
      <c r="D193" s="312"/>
      <c r="E193" s="224"/>
      <c r="F193" s="220"/>
      <c r="G193" s="222"/>
      <c r="I193" s="217"/>
      <c r="O193" s="223"/>
      <c r="P193" s="223"/>
      <c r="R193" s="218"/>
      <c r="S193" s="218"/>
      <c r="T193" s="218"/>
      <c r="U193" s="218"/>
      <c r="V193" s="218"/>
      <c r="W193" s="218"/>
      <c r="X193" s="218"/>
      <c r="Y193" s="218"/>
      <c r="Z193" s="218"/>
      <c r="AA193" s="218"/>
      <c r="AB193" s="218"/>
      <c r="AC193" s="218"/>
      <c r="AD193" s="219"/>
      <c r="AE193" s="219"/>
      <c r="AF193" s="219"/>
      <c r="AG193" s="219"/>
      <c r="AH193" s="219"/>
      <c r="AI193" s="219"/>
      <c r="AJ193" s="219"/>
      <c r="AK193" s="219"/>
      <c r="AL193" s="219"/>
      <c r="AM193" s="219"/>
      <c r="AN193" s="219"/>
      <c r="AO193" s="219"/>
      <c r="BB193" s="215"/>
      <c r="BC193" s="215"/>
      <c r="BD193" s="215"/>
      <c r="BE193" s="213"/>
      <c r="BF193" s="213"/>
      <c r="BG193" s="213"/>
      <c r="BH193" s="213"/>
    </row>
    <row r="194" spans="1:60" s="216" customFormat="1">
      <c r="A194" s="221"/>
      <c r="D194" s="312"/>
      <c r="E194" s="224"/>
      <c r="F194" s="220"/>
      <c r="G194" s="222"/>
      <c r="I194" s="217"/>
      <c r="O194" s="223"/>
      <c r="P194" s="223"/>
      <c r="R194" s="218"/>
      <c r="S194" s="218"/>
      <c r="T194" s="218"/>
      <c r="U194" s="218"/>
      <c r="V194" s="218"/>
      <c r="W194" s="218"/>
      <c r="X194" s="218"/>
      <c r="Y194" s="218"/>
      <c r="Z194" s="218"/>
      <c r="AA194" s="218"/>
      <c r="AB194" s="218"/>
      <c r="AC194" s="218"/>
      <c r="AD194" s="219"/>
      <c r="AE194" s="219"/>
      <c r="AF194" s="219"/>
      <c r="AG194" s="219"/>
      <c r="AH194" s="219"/>
      <c r="AI194" s="219"/>
      <c r="AJ194" s="219"/>
      <c r="AK194" s="219"/>
      <c r="AL194" s="219"/>
      <c r="AM194" s="219"/>
      <c r="AN194" s="219"/>
      <c r="AO194" s="219"/>
      <c r="BB194" s="215"/>
      <c r="BC194" s="215"/>
      <c r="BD194" s="215"/>
      <c r="BE194" s="213"/>
      <c r="BF194" s="213"/>
      <c r="BG194" s="213"/>
      <c r="BH194" s="213"/>
    </row>
    <row r="195" spans="1:60" s="216" customFormat="1">
      <c r="A195" s="221"/>
      <c r="D195" s="312"/>
      <c r="E195" s="224"/>
      <c r="F195" s="220"/>
      <c r="G195" s="222"/>
      <c r="I195" s="217"/>
      <c r="O195" s="223"/>
      <c r="P195" s="223"/>
      <c r="R195" s="218"/>
      <c r="S195" s="218"/>
      <c r="T195" s="218"/>
      <c r="U195" s="218"/>
      <c r="V195" s="218"/>
      <c r="W195" s="218"/>
      <c r="X195" s="218"/>
      <c r="Y195" s="218"/>
      <c r="Z195" s="218"/>
      <c r="AA195" s="218"/>
      <c r="AB195" s="218"/>
      <c r="AC195" s="218"/>
      <c r="AD195" s="219"/>
      <c r="AE195" s="219"/>
      <c r="AF195" s="219"/>
      <c r="AG195" s="219"/>
      <c r="AH195" s="219"/>
      <c r="AI195" s="219"/>
      <c r="AJ195" s="219"/>
      <c r="AK195" s="219"/>
      <c r="AL195" s="219"/>
      <c r="AM195" s="219"/>
      <c r="AN195" s="219"/>
      <c r="AO195" s="219"/>
      <c r="BB195" s="215"/>
      <c r="BC195" s="215"/>
      <c r="BD195" s="215"/>
      <c r="BE195" s="213"/>
      <c r="BF195" s="213"/>
      <c r="BG195" s="213"/>
      <c r="BH195" s="213"/>
    </row>
    <row r="196" spans="1:60" s="216" customFormat="1">
      <c r="A196" s="221"/>
      <c r="D196" s="312"/>
      <c r="E196" s="224"/>
      <c r="F196" s="220"/>
      <c r="G196" s="222"/>
      <c r="I196" s="217"/>
      <c r="O196" s="223"/>
      <c r="P196" s="223"/>
      <c r="R196" s="218"/>
      <c r="S196" s="218"/>
      <c r="T196" s="218"/>
      <c r="U196" s="218"/>
      <c r="V196" s="218"/>
      <c r="W196" s="218"/>
      <c r="X196" s="218"/>
      <c r="Y196" s="218"/>
      <c r="Z196" s="218"/>
      <c r="AA196" s="218"/>
      <c r="AB196" s="218"/>
      <c r="AC196" s="218"/>
      <c r="AD196" s="219"/>
      <c r="AE196" s="219"/>
      <c r="AF196" s="219"/>
      <c r="AG196" s="219"/>
      <c r="AH196" s="219"/>
      <c r="AI196" s="219"/>
      <c r="AJ196" s="219"/>
      <c r="AK196" s="219"/>
      <c r="AL196" s="219"/>
      <c r="AM196" s="219"/>
      <c r="AN196" s="219"/>
      <c r="AO196" s="219"/>
      <c r="BB196" s="215"/>
      <c r="BC196" s="215"/>
      <c r="BD196" s="215"/>
      <c r="BE196" s="213"/>
      <c r="BF196" s="213"/>
      <c r="BG196" s="213"/>
      <c r="BH196" s="213"/>
    </row>
    <row r="197" spans="1:60" s="216" customFormat="1">
      <c r="A197" s="221"/>
      <c r="D197" s="312"/>
      <c r="E197" s="224"/>
      <c r="F197" s="220"/>
      <c r="G197" s="222"/>
      <c r="I197" s="217"/>
      <c r="O197" s="223"/>
      <c r="P197" s="223"/>
      <c r="R197" s="218"/>
      <c r="S197" s="218"/>
      <c r="T197" s="218"/>
      <c r="U197" s="218"/>
      <c r="V197" s="218"/>
      <c r="W197" s="218"/>
      <c r="X197" s="218"/>
      <c r="Y197" s="218"/>
      <c r="Z197" s="218"/>
      <c r="AA197" s="218"/>
      <c r="AB197" s="218"/>
      <c r="AC197" s="218"/>
      <c r="AD197" s="219"/>
      <c r="AE197" s="219"/>
      <c r="AF197" s="219"/>
      <c r="AG197" s="219"/>
      <c r="AH197" s="219"/>
      <c r="AI197" s="219"/>
      <c r="AJ197" s="219"/>
      <c r="AK197" s="219"/>
      <c r="AL197" s="219"/>
      <c r="AM197" s="219"/>
      <c r="AN197" s="219"/>
      <c r="AO197" s="219"/>
      <c r="BB197" s="215"/>
      <c r="BC197" s="215"/>
      <c r="BD197" s="215"/>
      <c r="BE197" s="213"/>
      <c r="BF197" s="213"/>
      <c r="BG197" s="213"/>
      <c r="BH197" s="213"/>
    </row>
    <row r="198" spans="1:60" s="216" customFormat="1">
      <c r="A198" s="221"/>
      <c r="D198" s="312"/>
      <c r="E198" s="224"/>
      <c r="F198" s="220"/>
      <c r="G198" s="222"/>
      <c r="I198" s="217"/>
      <c r="O198" s="223"/>
      <c r="P198" s="223"/>
      <c r="R198" s="218"/>
      <c r="S198" s="218"/>
      <c r="T198" s="218"/>
      <c r="U198" s="218"/>
      <c r="V198" s="218"/>
      <c r="W198" s="218"/>
      <c r="X198" s="218"/>
      <c r="Y198" s="218"/>
      <c r="Z198" s="218"/>
      <c r="AA198" s="218"/>
      <c r="AB198" s="218"/>
      <c r="AC198" s="218"/>
      <c r="AD198" s="219"/>
      <c r="AE198" s="219"/>
      <c r="AF198" s="219"/>
      <c r="AG198" s="219"/>
      <c r="AH198" s="219"/>
      <c r="AI198" s="219"/>
      <c r="AJ198" s="219"/>
      <c r="AK198" s="219"/>
      <c r="AL198" s="219"/>
      <c r="AM198" s="219"/>
      <c r="AN198" s="219"/>
      <c r="AO198" s="219"/>
      <c r="BB198" s="215"/>
      <c r="BC198" s="215"/>
      <c r="BD198" s="215"/>
      <c r="BE198" s="213"/>
      <c r="BF198" s="213"/>
      <c r="BG198" s="213"/>
      <c r="BH198" s="213"/>
    </row>
    <row r="199" spans="1:60" s="216" customFormat="1">
      <c r="A199" s="221"/>
      <c r="D199" s="312"/>
      <c r="E199" s="224"/>
      <c r="F199" s="220"/>
      <c r="G199" s="222"/>
      <c r="I199" s="217"/>
      <c r="O199" s="223"/>
      <c r="P199" s="223"/>
      <c r="R199" s="218"/>
      <c r="S199" s="218"/>
      <c r="T199" s="218"/>
      <c r="U199" s="218"/>
      <c r="V199" s="218"/>
      <c r="W199" s="218"/>
      <c r="X199" s="218"/>
      <c r="Y199" s="218"/>
      <c r="Z199" s="218"/>
      <c r="AA199" s="218"/>
      <c r="AB199" s="218"/>
      <c r="AC199" s="218"/>
      <c r="AD199" s="219"/>
      <c r="AE199" s="219"/>
      <c r="AF199" s="219"/>
      <c r="AG199" s="219"/>
      <c r="AH199" s="219"/>
      <c r="AI199" s="219"/>
      <c r="AJ199" s="219"/>
      <c r="AK199" s="219"/>
      <c r="AL199" s="219"/>
      <c r="AM199" s="219"/>
      <c r="AN199" s="219"/>
      <c r="AO199" s="219"/>
      <c r="BB199" s="215"/>
      <c r="BC199" s="215"/>
      <c r="BD199" s="215"/>
      <c r="BE199" s="213"/>
      <c r="BF199" s="213"/>
      <c r="BG199" s="213"/>
      <c r="BH199" s="213"/>
    </row>
    <row r="200" spans="1:60" s="216" customFormat="1">
      <c r="A200" s="221"/>
      <c r="D200" s="312"/>
      <c r="E200" s="224"/>
      <c r="F200" s="220"/>
      <c r="G200" s="222"/>
      <c r="I200" s="217"/>
      <c r="O200" s="223"/>
      <c r="P200" s="223"/>
      <c r="R200" s="218"/>
      <c r="S200" s="218"/>
      <c r="T200" s="218"/>
      <c r="U200" s="218"/>
      <c r="V200" s="218"/>
      <c r="W200" s="218"/>
      <c r="X200" s="218"/>
      <c r="Y200" s="218"/>
      <c r="Z200" s="218"/>
      <c r="AA200" s="218"/>
      <c r="AB200" s="218"/>
      <c r="AC200" s="218"/>
      <c r="AD200" s="219"/>
      <c r="AE200" s="219"/>
      <c r="AF200" s="219"/>
      <c r="AG200" s="219"/>
      <c r="AH200" s="219"/>
      <c r="AI200" s="219"/>
      <c r="AJ200" s="219"/>
      <c r="AK200" s="219"/>
      <c r="AL200" s="219"/>
      <c r="AM200" s="219"/>
      <c r="AN200" s="219"/>
      <c r="AO200" s="219"/>
      <c r="BB200" s="215"/>
      <c r="BC200" s="215"/>
      <c r="BD200" s="215"/>
      <c r="BE200" s="213"/>
      <c r="BF200" s="213"/>
      <c r="BG200" s="213"/>
      <c r="BH200" s="213"/>
    </row>
    <row r="201" spans="1:60" s="216" customFormat="1">
      <c r="A201" s="221"/>
      <c r="D201" s="312"/>
      <c r="E201" s="224"/>
      <c r="F201" s="220"/>
      <c r="G201" s="222"/>
      <c r="I201" s="217"/>
      <c r="O201" s="223"/>
      <c r="P201" s="223"/>
      <c r="R201" s="218"/>
      <c r="S201" s="218"/>
      <c r="T201" s="218"/>
      <c r="U201" s="218"/>
      <c r="V201" s="218"/>
      <c r="W201" s="218"/>
      <c r="X201" s="218"/>
      <c r="Y201" s="218"/>
      <c r="Z201" s="218"/>
      <c r="AA201" s="218"/>
      <c r="AB201" s="218"/>
      <c r="AC201" s="218"/>
      <c r="AD201" s="219"/>
      <c r="AE201" s="219"/>
      <c r="AF201" s="219"/>
      <c r="AG201" s="219"/>
      <c r="AH201" s="219"/>
      <c r="AI201" s="219"/>
      <c r="AJ201" s="219"/>
      <c r="AK201" s="219"/>
      <c r="AL201" s="219"/>
      <c r="AM201" s="219"/>
      <c r="AN201" s="219"/>
      <c r="AO201" s="219"/>
      <c r="BB201" s="215"/>
      <c r="BC201" s="215"/>
      <c r="BD201" s="215"/>
      <c r="BE201" s="213"/>
      <c r="BF201" s="213"/>
      <c r="BG201" s="213"/>
      <c r="BH201" s="213"/>
    </row>
    <row r="202" spans="1:60">
      <c r="A202" s="221"/>
    </row>
  </sheetData>
  <mergeCells count="16">
    <mergeCell ref="BB2:BC2"/>
    <mergeCell ref="R1:AC1"/>
    <mergeCell ref="AD1:AO1"/>
    <mergeCell ref="AP1:BA1"/>
    <mergeCell ref="R2:T2"/>
    <mergeCell ref="U2:W2"/>
    <mergeCell ref="X2:Z2"/>
    <mergeCell ref="AA2:AC2"/>
    <mergeCell ref="AD2:AF2"/>
    <mergeCell ref="AG2:AI2"/>
    <mergeCell ref="AJ2:AL2"/>
    <mergeCell ref="AM2:AO2"/>
    <mergeCell ref="AP2:AR2"/>
    <mergeCell ref="AS2:AU2"/>
    <mergeCell ref="AV2:AX2"/>
    <mergeCell ref="AY2:BA2"/>
  </mergeCells>
  <hyperlinks>
    <hyperlink ref="BH88" r:id="rId1" display="http://www.theepochtimes.com/"/>
    <hyperlink ref="BH30" r:id="rId2" display="http://www.theepochtimes.com/"/>
    <hyperlink ref="BH87" r:id="rId3"/>
    <hyperlink ref="BH29" r:id="rId4"/>
    <hyperlink ref="BH38" r:id="rId5"/>
    <hyperlink ref="BH6" r:id="rId6"/>
    <hyperlink ref="BH9" r:id="rId7"/>
    <hyperlink ref="BH63" r:id="rId8"/>
    <hyperlink ref="BH72" r:id="rId9"/>
    <hyperlink ref="BH89" r:id="rId10"/>
    <hyperlink ref="BH31" r:id="rId11"/>
    <hyperlink ref="BH103" r:id="rId12"/>
    <hyperlink ref="BH102" r:id="rId13"/>
    <hyperlink ref="BH46" r:id="rId14"/>
    <hyperlink ref="BH34" r:id="rId15"/>
    <hyperlink ref="BH32" r:id="rId16" display="http://www.bclocalnews.com/daily/victoria/"/>
    <hyperlink ref="BH84" r:id="rId17"/>
    <hyperlink ref="BH93" r:id="rId18"/>
    <hyperlink ref="BH81" r:id="rId19"/>
    <hyperlink ref="BH74" r:id="rId20"/>
  </hyperlinks>
  <printOptions gridLines="1"/>
  <pageMargins left="0.23622047244094499" right="0.23622047244094499" top="0.69" bottom="0.39370078740157499" header="0.23622047244094499" footer="0.23622047244094499"/>
  <pageSetup scale="54" orientation="landscape" horizontalDpi="4294967293" verticalDpi="1200" r:id="rId21"/>
  <headerFooter scaleWithDoc="0">
    <oddHeader>&amp;C&amp;"-,Bold"&amp;18 2013 Daily Newspaper Circulation Report</oddHeader>
    <oddFooter>&amp;L&amp;8Source:  Newspapers Canada May 2015&amp;R&amp;8&amp;P</oddFooter>
  </headerFooter>
  <rowBreaks count="2" manualBreakCount="2">
    <brk id="61" max="55" man="1"/>
    <brk id="117" max="5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zoomScaleNormal="100" zoomScaleSheetLayoutView="80" workbookViewId="0">
      <selection activeCell="A25" sqref="A25"/>
    </sheetView>
  </sheetViews>
  <sheetFormatPr defaultColWidth="8.85546875" defaultRowHeight="15"/>
  <cols>
    <col min="1" max="1" width="48.140625" style="269" customWidth="1"/>
    <col min="2" max="2" width="32.42578125" style="269" customWidth="1"/>
    <col min="3" max="3" width="35" style="269" customWidth="1"/>
    <col min="4" max="4" width="48.7109375" style="269" customWidth="1"/>
    <col min="5" max="16384" width="8.85546875" style="269"/>
  </cols>
  <sheetData>
    <row r="1" spans="1:4" s="268" customFormat="1" ht="15.75">
      <c r="A1" s="265" t="s">
        <v>344</v>
      </c>
      <c r="B1" s="266" t="s">
        <v>518</v>
      </c>
      <c r="C1" s="266" t="s">
        <v>346</v>
      </c>
      <c r="D1" s="267" t="s">
        <v>347</v>
      </c>
    </row>
    <row r="2" spans="1:4">
      <c r="A2" s="269" t="s">
        <v>66</v>
      </c>
      <c r="B2" s="269" t="s">
        <v>445</v>
      </c>
      <c r="C2" s="269" t="s">
        <v>350</v>
      </c>
      <c r="D2" s="269" t="s">
        <v>160</v>
      </c>
    </row>
    <row r="3" spans="1:4">
      <c r="A3" s="269" t="s">
        <v>71</v>
      </c>
      <c r="C3" s="269" t="s">
        <v>354</v>
      </c>
      <c r="D3" s="269" t="s">
        <v>355</v>
      </c>
    </row>
    <row r="4" spans="1:4" ht="15.75">
      <c r="A4" s="269" t="s">
        <v>356</v>
      </c>
      <c r="B4" s="266" t="s">
        <v>450</v>
      </c>
      <c r="C4" s="269" t="s">
        <v>357</v>
      </c>
      <c r="D4" s="269" t="s">
        <v>358</v>
      </c>
    </row>
    <row r="5" spans="1:4">
      <c r="B5" s="269" t="s">
        <v>452</v>
      </c>
      <c r="C5" s="269" t="s">
        <v>186</v>
      </c>
      <c r="D5" s="269" t="s">
        <v>519</v>
      </c>
    </row>
    <row r="6" spans="1:4" ht="15.75">
      <c r="A6" s="266" t="s">
        <v>520</v>
      </c>
      <c r="C6" s="269" t="s">
        <v>362</v>
      </c>
      <c r="D6" s="269" t="s">
        <v>363</v>
      </c>
    </row>
    <row r="7" spans="1:4" ht="15.75">
      <c r="A7" s="269" t="s">
        <v>364</v>
      </c>
      <c r="B7" s="266" t="s">
        <v>345</v>
      </c>
      <c r="C7" s="269" t="s">
        <v>366</v>
      </c>
      <c r="D7" s="269" t="s">
        <v>521</v>
      </c>
    </row>
    <row r="8" spans="1:4">
      <c r="A8" s="269" t="s">
        <v>102</v>
      </c>
      <c r="B8" s="269" t="s">
        <v>349</v>
      </c>
      <c r="C8" s="269" t="s">
        <v>369</v>
      </c>
      <c r="D8" s="269" t="s">
        <v>522</v>
      </c>
    </row>
    <row r="9" spans="1:4">
      <c r="A9" s="269" t="s">
        <v>523</v>
      </c>
      <c r="B9" s="269" t="s">
        <v>353</v>
      </c>
      <c r="C9" s="269" t="s">
        <v>373</v>
      </c>
      <c r="D9" s="269" t="s">
        <v>374</v>
      </c>
    </row>
    <row r="10" spans="1:4">
      <c r="A10" s="269" t="s">
        <v>524</v>
      </c>
      <c r="B10" s="269" t="s">
        <v>270</v>
      </c>
      <c r="C10" s="269" t="s">
        <v>377</v>
      </c>
      <c r="D10" s="269" t="s">
        <v>264</v>
      </c>
    </row>
    <row r="11" spans="1:4">
      <c r="A11" s="272" t="s">
        <v>525</v>
      </c>
      <c r="B11" s="269" t="s">
        <v>175</v>
      </c>
      <c r="C11" s="269" t="s">
        <v>380</v>
      </c>
      <c r="D11" s="272" t="s">
        <v>381</v>
      </c>
    </row>
    <row r="12" spans="1:4">
      <c r="A12" s="272" t="s">
        <v>526</v>
      </c>
      <c r="B12" s="272" t="s">
        <v>361</v>
      </c>
      <c r="C12" s="269" t="s">
        <v>384</v>
      </c>
      <c r="D12" s="272" t="s">
        <v>385</v>
      </c>
    </row>
    <row r="13" spans="1:4">
      <c r="A13" s="272" t="s">
        <v>527</v>
      </c>
      <c r="B13" s="272" t="s">
        <v>365</v>
      </c>
      <c r="C13" s="269" t="s">
        <v>388</v>
      </c>
    </row>
    <row r="14" spans="1:4" ht="15.75">
      <c r="C14" s="269" t="s">
        <v>212</v>
      </c>
      <c r="D14" s="266" t="s">
        <v>528</v>
      </c>
    </row>
    <row r="15" spans="1:4" ht="15.75">
      <c r="A15" s="266" t="s">
        <v>382</v>
      </c>
      <c r="B15" s="265" t="s">
        <v>529</v>
      </c>
      <c r="C15" s="269" t="s">
        <v>394</v>
      </c>
      <c r="D15" s="269" t="s">
        <v>395</v>
      </c>
    </row>
    <row r="16" spans="1:4">
      <c r="A16" s="269" t="s">
        <v>386</v>
      </c>
      <c r="B16" s="269" t="s">
        <v>376</v>
      </c>
      <c r="C16" s="269" t="s">
        <v>61</v>
      </c>
      <c r="D16" s="269" t="s">
        <v>397</v>
      </c>
    </row>
    <row r="17" spans="1:4">
      <c r="A17" s="269" t="s">
        <v>389</v>
      </c>
      <c r="B17" s="269" t="s">
        <v>379</v>
      </c>
      <c r="C17" s="269" t="s">
        <v>400</v>
      </c>
      <c r="D17" s="269" t="s">
        <v>177</v>
      </c>
    </row>
    <row r="18" spans="1:4">
      <c r="A18" s="269" t="s">
        <v>392</v>
      </c>
      <c r="B18" s="269" t="s">
        <v>383</v>
      </c>
      <c r="C18" s="269" t="s">
        <v>402</v>
      </c>
      <c r="D18" s="269" t="s">
        <v>403</v>
      </c>
    </row>
    <row r="19" spans="1:4">
      <c r="B19" s="269" t="s">
        <v>387</v>
      </c>
      <c r="C19" s="269" t="s">
        <v>406</v>
      </c>
      <c r="D19" s="272" t="s">
        <v>407</v>
      </c>
    </row>
    <row r="20" spans="1:4" ht="15.75">
      <c r="A20" s="266" t="s">
        <v>398</v>
      </c>
      <c r="B20" s="269" t="s">
        <v>390</v>
      </c>
      <c r="C20" s="269" t="s">
        <v>530</v>
      </c>
      <c r="D20" s="272" t="s">
        <v>410</v>
      </c>
    </row>
    <row r="21" spans="1:4">
      <c r="A21" s="269" t="s">
        <v>96</v>
      </c>
      <c r="B21" s="269" t="s">
        <v>393</v>
      </c>
      <c r="C21" s="269" t="s">
        <v>412</v>
      </c>
      <c r="D21" s="272" t="s">
        <v>413</v>
      </c>
    </row>
    <row r="22" spans="1:4">
      <c r="A22" s="269" t="s">
        <v>404</v>
      </c>
      <c r="B22" s="269" t="s">
        <v>396</v>
      </c>
      <c r="C22" s="269" t="s">
        <v>184</v>
      </c>
      <c r="D22" s="272" t="s">
        <v>416</v>
      </c>
    </row>
    <row r="23" spans="1:4">
      <c r="A23" s="269" t="s">
        <v>408</v>
      </c>
      <c r="B23" s="269" t="s">
        <v>399</v>
      </c>
      <c r="C23" s="269" t="s">
        <v>417</v>
      </c>
      <c r="D23" s="272" t="s">
        <v>531</v>
      </c>
    </row>
    <row r="24" spans="1:4">
      <c r="B24" s="269" t="s">
        <v>401</v>
      </c>
      <c r="C24" s="269" t="s">
        <v>420</v>
      </c>
      <c r="D24" s="272" t="s">
        <v>418</v>
      </c>
    </row>
    <row r="25" spans="1:4" ht="15.75">
      <c r="A25" s="266" t="s">
        <v>414</v>
      </c>
      <c r="B25" s="269" t="s">
        <v>405</v>
      </c>
      <c r="C25" s="269" t="s">
        <v>193</v>
      </c>
      <c r="D25" s="272" t="s">
        <v>421</v>
      </c>
    </row>
    <row r="26" spans="1:4">
      <c r="A26" s="269" t="s">
        <v>128</v>
      </c>
      <c r="C26" s="269" t="s">
        <v>425</v>
      </c>
      <c r="D26" s="272" t="s">
        <v>532</v>
      </c>
    </row>
    <row r="27" spans="1:4" ht="15.75">
      <c r="A27" s="269" t="s">
        <v>122</v>
      </c>
      <c r="B27" s="266" t="s">
        <v>419</v>
      </c>
      <c r="C27" s="269" t="s">
        <v>195</v>
      </c>
      <c r="D27" s="272" t="s">
        <v>533</v>
      </c>
    </row>
    <row r="28" spans="1:4">
      <c r="B28" s="269" t="s">
        <v>422</v>
      </c>
      <c r="C28" s="269" t="s">
        <v>430</v>
      </c>
    </row>
    <row r="29" spans="1:4" ht="15.75">
      <c r="A29" s="266" t="s">
        <v>534</v>
      </c>
      <c r="B29" s="269" t="s">
        <v>424</v>
      </c>
      <c r="C29" s="269" t="s">
        <v>433</v>
      </c>
      <c r="D29" s="266" t="s">
        <v>535</v>
      </c>
    </row>
    <row r="30" spans="1:4">
      <c r="A30" s="269" t="s">
        <v>426</v>
      </c>
      <c r="B30" s="269" t="s">
        <v>427</v>
      </c>
      <c r="C30" s="269" t="s">
        <v>436</v>
      </c>
      <c r="D30" s="269" t="s">
        <v>536</v>
      </c>
    </row>
    <row r="31" spans="1:4">
      <c r="A31" s="269" t="s">
        <v>537</v>
      </c>
      <c r="B31" s="269" t="s">
        <v>429</v>
      </c>
      <c r="C31" s="269" t="s">
        <v>215</v>
      </c>
    </row>
    <row r="32" spans="1:4">
      <c r="A32" s="269" t="s">
        <v>470</v>
      </c>
      <c r="B32" s="269" t="s">
        <v>432</v>
      </c>
      <c r="C32" s="314" t="s">
        <v>440</v>
      </c>
    </row>
    <row r="33" spans="1:4">
      <c r="A33" s="269" t="s">
        <v>428</v>
      </c>
      <c r="B33" s="269" t="s">
        <v>435</v>
      </c>
      <c r="C33" s="269" t="s">
        <v>443</v>
      </c>
      <c r="D33" s="274" t="s">
        <v>439</v>
      </c>
    </row>
    <row r="34" spans="1:4">
      <c r="A34" s="269" t="s">
        <v>431</v>
      </c>
      <c r="B34" s="269" t="s">
        <v>438</v>
      </c>
      <c r="C34" s="269" t="s">
        <v>446</v>
      </c>
      <c r="D34" s="276" t="s">
        <v>538</v>
      </c>
    </row>
    <row r="35" spans="1:4">
      <c r="A35" s="269" t="s">
        <v>434</v>
      </c>
      <c r="C35" s="269" t="s">
        <v>448</v>
      </c>
      <c r="D35" s="276" t="s">
        <v>539</v>
      </c>
    </row>
    <row r="36" spans="1:4">
      <c r="A36" s="269" t="s">
        <v>437</v>
      </c>
      <c r="C36" s="269" t="s">
        <v>206</v>
      </c>
      <c r="D36" s="276" t="s">
        <v>540</v>
      </c>
    </row>
    <row r="37" spans="1:4">
      <c r="C37" s="272" t="s">
        <v>453</v>
      </c>
      <c r="D37" s="276" t="s">
        <v>541</v>
      </c>
    </row>
    <row r="38" spans="1:4">
      <c r="C38" s="272" t="s">
        <v>455</v>
      </c>
      <c r="D38" s="276" t="s">
        <v>542</v>
      </c>
    </row>
    <row r="39" spans="1:4">
      <c r="C39" s="272" t="s">
        <v>457</v>
      </c>
      <c r="D39" s="276" t="s">
        <v>543</v>
      </c>
    </row>
    <row r="40" spans="1:4">
      <c r="D40" s="276" t="s">
        <v>544</v>
      </c>
    </row>
    <row r="41" spans="1:4">
      <c r="C41" s="277"/>
      <c r="D41" s="276" t="s">
        <v>545</v>
      </c>
    </row>
    <row r="42" spans="1:4">
      <c r="D42" s="276" t="s">
        <v>546</v>
      </c>
    </row>
  </sheetData>
  <printOptions horizontalCentered="1"/>
  <pageMargins left="0.2" right="0.2" top="0.74" bottom="0.43307086614173201" header="0.31496062992126" footer="0.118110236220472"/>
  <pageSetup scale="80" orientation="landscape" horizontalDpi="4294967293" verticalDpi="1200" r:id="rId1"/>
  <headerFooter>
    <oddHeader>&amp;C&amp;"-,Bold"&amp;18 2013 Ownership Groups - Canadian Daily Newspapers (113 papers)</oddHeader>
    <oddFooter xml:space="preserve">&amp;L&amp;"-,Italic"&amp;8Source:  Newspapers Canada
&amp;D&amp;R&amp;"-,Italic"&amp;8* indicates non-member of CNA
#  paywall/metered access
black - paid daily newspapers (94)
&amp;K03+000blue - free daily newspapers (19)&amp;K01+000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2014 Circulation by Title</vt:lpstr>
      <vt:lpstr>2014 Ownership</vt:lpstr>
      <vt:lpstr>2014 Tables</vt:lpstr>
      <vt:lpstr>2013 Circulation by Title</vt:lpstr>
      <vt:lpstr>2013 Ownership</vt:lpstr>
      <vt:lpstr>'2013 Circulation by Title'!Print_Area</vt:lpstr>
      <vt:lpstr>'2014 Circulation by Title'!Print_Area</vt:lpstr>
      <vt:lpstr>'2013 Circulation by Title'!Print_Titles</vt:lpstr>
      <vt:lpstr>'2014 Circulation by Title'!Print_Titles</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Levson</dc:creator>
  <cp:lastModifiedBy>Kelly Levson</cp:lastModifiedBy>
  <cp:lastPrinted>2015-06-03T17:43:11Z</cp:lastPrinted>
  <dcterms:created xsi:type="dcterms:W3CDTF">2015-05-21T13:24:23Z</dcterms:created>
  <dcterms:modified xsi:type="dcterms:W3CDTF">2016-01-11T14:09:55Z</dcterms:modified>
</cp:coreProperties>
</file>